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831652DD-1147-44B0-909A-9852DD4B3378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Hoja1" sheetId="1" r:id="rId1"/>
    <sheet name="Hoja2" sheetId="2" r:id="rId2"/>
  </sheets>
  <definedNames>
    <definedName name="_xlnm.Print_Area" localSheetId="0">Hoja1!$B$3:$Y$75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1" i="1" l="1"/>
  <c r="Q66" i="1"/>
  <c r="J654" i="1" l="1"/>
  <c r="J653" i="1"/>
  <c r="J652" i="1"/>
  <c r="J651" i="1"/>
  <c r="J650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461" i="1" l="1"/>
  <c r="J460" i="1"/>
  <c r="J458" i="1"/>
  <c r="J457" i="1"/>
  <c r="J456" i="1"/>
  <c r="Q471" i="1"/>
  <c r="Q470" i="1"/>
  <c r="Q469" i="1"/>
  <c r="Q468" i="1"/>
  <c r="Q467" i="1"/>
  <c r="M342" i="1"/>
  <c r="M341" i="1"/>
  <c r="M340" i="1"/>
  <c r="M339" i="1"/>
  <c r="M338" i="1"/>
  <c r="M335" i="1"/>
  <c r="M334" i="1"/>
  <c r="M333" i="1"/>
  <c r="M332" i="1"/>
  <c r="M330" i="1"/>
  <c r="M329" i="1"/>
  <c r="M328" i="1"/>
  <c r="M327" i="1"/>
  <c r="M326" i="1"/>
  <c r="M323" i="1"/>
  <c r="M322" i="1"/>
  <c r="M321" i="1"/>
  <c r="M320" i="1"/>
  <c r="M318" i="1"/>
  <c r="M317" i="1"/>
  <c r="M316" i="1"/>
  <c r="M315" i="1"/>
  <c r="M314" i="1"/>
  <c r="M313" i="1"/>
  <c r="M312" i="1"/>
  <c r="M303" i="1"/>
  <c r="M300" i="1"/>
  <c r="M299" i="1"/>
  <c r="M296" i="1"/>
  <c r="M294" i="1"/>
  <c r="M290" i="1"/>
  <c r="M289" i="1"/>
  <c r="O283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2" i="1"/>
  <c r="O261" i="1"/>
  <c r="O260" i="1"/>
  <c r="O259" i="1"/>
  <c r="O258" i="1"/>
  <c r="O257" i="1"/>
  <c r="O254" i="1"/>
  <c r="O253" i="1"/>
  <c r="O252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2" i="1"/>
  <c r="O231" i="1"/>
  <c r="O230" i="1"/>
  <c r="O228" i="1"/>
  <c r="O227" i="1"/>
  <c r="O226" i="1"/>
  <c r="O225" i="1"/>
  <c r="O224" i="1"/>
  <c r="O223" i="1"/>
  <c r="O222" i="1"/>
  <c r="O221" i="1"/>
  <c r="O213" i="1"/>
  <c r="O212" i="1"/>
  <c r="O211" i="1"/>
  <c r="O210" i="1"/>
  <c r="O209" i="1"/>
  <c r="O207" i="1"/>
  <c r="O206" i="1"/>
  <c r="O205" i="1"/>
  <c r="O204" i="1"/>
  <c r="O203" i="1"/>
  <c r="O202" i="1"/>
  <c r="O201" i="1"/>
  <c r="O200" i="1"/>
  <c r="O197" i="1"/>
  <c r="O196" i="1"/>
  <c r="O195" i="1"/>
  <c r="O194" i="1"/>
  <c r="O193" i="1"/>
  <c r="O192" i="1"/>
  <c r="O191" i="1"/>
  <c r="O189" i="1"/>
  <c r="Q158" i="1"/>
  <c r="Q157" i="1"/>
  <c r="Q148" i="1"/>
  <c r="Q134" i="1"/>
  <c r="Q132" i="1"/>
  <c r="Q130" i="1"/>
  <c r="Q128" i="1"/>
  <c r="Q126" i="1"/>
  <c r="Q124" i="1"/>
  <c r="Q165" i="1"/>
  <c r="Q133" i="1"/>
  <c r="Q131" i="1"/>
  <c r="Q129" i="1"/>
  <c r="Q127" i="1"/>
  <c r="Q125" i="1"/>
  <c r="Q123" i="1"/>
  <c r="Q179" i="1"/>
  <c r="Q177" i="1"/>
  <c r="Q175" i="1"/>
  <c r="Q173" i="1"/>
  <c r="Q172" i="1"/>
  <c r="Q171" i="1"/>
  <c r="Q170" i="1"/>
  <c r="Q166" i="1"/>
  <c r="Q164" i="1"/>
  <c r="Q163" i="1"/>
  <c r="Q162" i="1"/>
  <c r="Q156" i="1"/>
  <c r="Q155" i="1"/>
  <c r="Q154" i="1"/>
  <c r="Q152" i="1"/>
  <c r="Q151" i="1"/>
  <c r="Q150" i="1"/>
  <c r="Q146" i="1"/>
  <c r="Q145" i="1"/>
  <c r="Q141" i="1"/>
  <c r="Q122" i="1"/>
  <c r="Q121" i="1"/>
  <c r="Q120" i="1"/>
  <c r="Q119" i="1"/>
  <c r="Q108" i="1"/>
  <c r="Q107" i="1"/>
  <c r="Q106" i="1"/>
  <c r="Q105" i="1"/>
  <c r="Q104" i="1"/>
  <c r="Q103" i="1"/>
  <c r="Q102" i="1"/>
  <c r="Q101" i="1"/>
  <c r="Q100" i="1"/>
  <c r="Q99" i="1"/>
  <c r="Q91" i="1"/>
  <c r="Q88" i="1"/>
  <c r="Q87" i="1"/>
  <c r="Q86" i="1"/>
  <c r="Q85" i="1"/>
  <c r="Q84" i="1"/>
  <c r="Q83" i="1"/>
  <c r="Q82" i="1"/>
  <c r="Q81" i="1"/>
  <c r="Q27" i="1"/>
  <c r="Q26" i="1"/>
  <c r="Q25" i="1"/>
  <c r="M699" i="1" l="1"/>
  <c r="M697" i="1"/>
  <c r="M696" i="1"/>
  <c r="M694" i="1"/>
  <c r="M693" i="1"/>
  <c r="M692" i="1"/>
  <c r="M698" i="1"/>
  <c r="M691" i="1"/>
  <c r="O684" i="1"/>
  <c r="O683" i="1"/>
  <c r="O682" i="1"/>
  <c r="O681" i="1"/>
  <c r="O680" i="1"/>
  <c r="P141" i="1" l="1"/>
  <c r="P402" i="1" l="1"/>
  <c r="P8" i="1" l="1"/>
  <c r="P7" i="1"/>
  <c r="P6" i="1"/>
  <c r="P9" i="1" l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9" i="1"/>
  <c r="P100" i="1"/>
  <c r="P101" i="1"/>
  <c r="P102" i="1"/>
  <c r="P103" i="1"/>
  <c r="P104" i="1"/>
  <c r="P105" i="1"/>
  <c r="P106" i="1"/>
  <c r="P107" i="1"/>
  <c r="P108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6" i="1"/>
  <c r="P137" i="1"/>
  <c r="P138" i="1"/>
  <c r="P139" i="1"/>
  <c r="P140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7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83" i="1"/>
  <c r="P284" i="1"/>
  <c r="P369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9" i="1"/>
  <c r="P462" i="1"/>
  <c r="P467" i="1"/>
  <c r="P468" i="1"/>
  <c r="P469" i="1"/>
  <c r="P470" i="1"/>
  <c r="P471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80" i="1"/>
  <c r="P681" i="1"/>
  <c r="P682" i="1"/>
  <c r="P683" i="1"/>
  <c r="P684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P861" i="1"/>
  <c r="P862" i="1"/>
  <c r="P863" i="1"/>
  <c r="P864" i="1"/>
  <c r="P865" i="1"/>
  <c r="P866" i="1"/>
  <c r="P867" i="1"/>
  <c r="P868" i="1"/>
  <c r="P869" i="1"/>
  <c r="P870" i="1"/>
</calcChain>
</file>

<file path=xl/sharedStrings.xml><?xml version="1.0" encoding="utf-8"?>
<sst xmlns="http://schemas.openxmlformats.org/spreadsheetml/2006/main" count="2436" uniqueCount="1481">
  <si>
    <t>Moneda</t>
  </si>
  <si>
    <t>Costo</t>
  </si>
  <si>
    <t>Minorista</t>
  </si>
  <si>
    <t>Mayorista</t>
  </si>
  <si>
    <t>Lista 10-21</t>
  </si>
  <si>
    <t>Remaches para diafragma, (línea liviana)          Material: SAE 1008</t>
  </si>
  <si>
    <t>Código</t>
  </si>
  <si>
    <t>Descripción</t>
  </si>
  <si>
    <t>Diámetro A</t>
  </si>
  <si>
    <t>Diámetro B</t>
  </si>
  <si>
    <t>Diámetro C</t>
  </si>
  <si>
    <t>Altura D</t>
  </si>
  <si>
    <t>Altura E</t>
  </si>
  <si>
    <t>Precio (U)</t>
  </si>
  <si>
    <t>01.1.100</t>
  </si>
  <si>
    <t>Fiat 147 Diesel</t>
  </si>
  <si>
    <t>Pesos</t>
  </si>
  <si>
    <t>01.1.101</t>
  </si>
  <si>
    <t>Fiat 147</t>
  </si>
  <si>
    <t>01.1.102</t>
  </si>
  <si>
    <t>R12 170/180 6.5</t>
  </si>
  <si>
    <t>01.1.103</t>
  </si>
  <si>
    <t>R12 170/180 6.90</t>
  </si>
  <si>
    <t>01.1.104</t>
  </si>
  <si>
    <t>Daihatsu Cuore 7.30</t>
  </si>
  <si>
    <t>01.1.105</t>
  </si>
  <si>
    <t>Toyota-Subaru 7.50</t>
  </si>
  <si>
    <t>01.1.106</t>
  </si>
  <si>
    <t>Renault 6 7.80</t>
  </si>
  <si>
    <t>01.1.107</t>
  </si>
  <si>
    <t>VW Kombi 8.10</t>
  </si>
  <si>
    <t>01.1.108</t>
  </si>
  <si>
    <t>VW Kombi 8.30</t>
  </si>
  <si>
    <t>01.1.109</t>
  </si>
  <si>
    <t>Toyota Hilux 8.50</t>
  </si>
  <si>
    <t>01.1.110</t>
  </si>
  <si>
    <t>Toyota Celica 9.00</t>
  </si>
  <si>
    <t>01.1.112</t>
  </si>
  <si>
    <t>FIAT Ducato 6.70</t>
  </si>
  <si>
    <t xml:space="preserve">                                      x4</t>
  </si>
  <si>
    <t>01.1.113</t>
  </si>
  <si>
    <t xml:space="preserve"> FIAT 128-1300 7.00</t>
  </si>
  <si>
    <t>01.1.114</t>
  </si>
  <si>
    <t>VW Senda-Gol 7.30</t>
  </si>
  <si>
    <t>01.1.115</t>
  </si>
  <si>
    <t>Renault 12 200 7.50</t>
  </si>
  <si>
    <t>01.1.116</t>
  </si>
  <si>
    <t>Renault 18 2000 7.80</t>
  </si>
  <si>
    <t>01.1.117</t>
  </si>
  <si>
    <t>Fiat 125 8.10</t>
  </si>
  <si>
    <t>01.1.118</t>
  </si>
  <si>
    <t>BA-7 8.30</t>
  </si>
  <si>
    <t>01.1.119</t>
  </si>
  <si>
    <t>BA-7 8.50</t>
  </si>
  <si>
    <t>01.1.120</t>
  </si>
  <si>
    <t>BA-7 Doble Diaf. 9.10</t>
  </si>
  <si>
    <t>01.1.121</t>
  </si>
  <si>
    <t>Opel 8.50</t>
  </si>
  <si>
    <t>01.1.122</t>
  </si>
  <si>
    <t xml:space="preserve">Chevrolet. 9.00 </t>
  </si>
  <si>
    <t>01.1.123</t>
  </si>
  <si>
    <t>Nissan 9.00</t>
  </si>
  <si>
    <t>01.1.124</t>
  </si>
  <si>
    <t>Chevrolet 10" 9.50</t>
  </si>
  <si>
    <t>01.1.125</t>
  </si>
  <si>
    <t>Chevrolet 10" 10.0</t>
  </si>
  <si>
    <t>01.1.126</t>
  </si>
  <si>
    <t>Chevrolet Doble Diaf. 11.0</t>
  </si>
  <si>
    <t>01.1.127</t>
  </si>
  <si>
    <t>Fiat 128-1300 7.0 Super</t>
  </si>
  <si>
    <t>01.1.128</t>
  </si>
  <si>
    <t>VW Senda-Gol 7.30 Super</t>
  </si>
  <si>
    <t>01.1.129</t>
  </si>
  <si>
    <t>Renault 12 7.50 Super</t>
  </si>
  <si>
    <t>01.1.130</t>
  </si>
  <si>
    <t>BA-7 Doble Diaf. 10.0</t>
  </si>
  <si>
    <t>01.1.131</t>
  </si>
  <si>
    <t>Placa Sachs 7.80</t>
  </si>
  <si>
    <t>01.1.132</t>
  </si>
  <si>
    <t>Chevrolet. 10" Doble Diaf. 10.5</t>
  </si>
  <si>
    <t>01.1.133</t>
  </si>
  <si>
    <t>Renault 12 170-180 6.10 Super</t>
  </si>
  <si>
    <t>01.1.134</t>
  </si>
  <si>
    <t>Renault 12 170-180 6.5 Super</t>
  </si>
  <si>
    <t>01.1.135</t>
  </si>
  <si>
    <t>VW Gol-Gacel Luk 7.80</t>
  </si>
  <si>
    <t>01.1.136</t>
  </si>
  <si>
    <t>Ford Transit Luk 8.10</t>
  </si>
  <si>
    <t>01.1.137</t>
  </si>
  <si>
    <t>Peugeot 405 Luk</t>
  </si>
  <si>
    <t>01.1.139</t>
  </si>
  <si>
    <t>Luk Varios. 7.30</t>
  </si>
  <si>
    <t>01.1.140</t>
  </si>
  <si>
    <t xml:space="preserve">Ford Ka-Fiesta 6.75 Sachs </t>
  </si>
  <si>
    <t>01.1.141</t>
  </si>
  <si>
    <t>Renault 18 2000 Super</t>
  </si>
  <si>
    <t>01.1.142</t>
  </si>
  <si>
    <t>Renault 6 7.80 Super</t>
  </si>
  <si>
    <t>01.1.144</t>
  </si>
  <si>
    <t>BA-7 Doble Diaf. 9.50</t>
  </si>
  <si>
    <t>01.1.145</t>
  </si>
  <si>
    <t>Toyota 9.50</t>
  </si>
  <si>
    <t>01.1.146</t>
  </si>
  <si>
    <t>Toyota 10.0</t>
  </si>
  <si>
    <t>01.1.150</t>
  </si>
  <si>
    <t>Renault 12 170/180 6.5 Vast.8</t>
  </si>
  <si>
    <t>01.1.151</t>
  </si>
  <si>
    <t>Renault 6 7.8 Vast. 8</t>
  </si>
  <si>
    <t>01.1.152</t>
  </si>
  <si>
    <t>Daewoo Luk</t>
  </si>
  <si>
    <t>01.1.153</t>
  </si>
  <si>
    <t>Placas Luk 7.50</t>
  </si>
  <si>
    <t>01.1.154</t>
  </si>
  <si>
    <t>Honda 8.70</t>
  </si>
  <si>
    <t>01.1.155</t>
  </si>
  <si>
    <t>BA-7 Especial 8.70</t>
  </si>
  <si>
    <t>01.1.156</t>
  </si>
  <si>
    <t>BA-7 Super 8.10</t>
  </si>
  <si>
    <t>01.1.157</t>
  </si>
  <si>
    <t>Ford Ranger Luk 8.50</t>
  </si>
  <si>
    <t>01.1.159</t>
  </si>
  <si>
    <t>Kombi Super 8.10</t>
  </si>
  <si>
    <t>01.1.160</t>
  </si>
  <si>
    <t>Kombi Super 8.30</t>
  </si>
  <si>
    <t>01.1.161</t>
  </si>
  <si>
    <t xml:space="preserve">7.3 Cab.15 Sachs </t>
  </si>
  <si>
    <t>01.1.162</t>
  </si>
  <si>
    <t>Placas Luk 9.00mm</t>
  </si>
  <si>
    <t>01.1.164</t>
  </si>
  <si>
    <t>Opel 8.5 Cab. Ø 20mm Vast. 14mm</t>
  </si>
  <si>
    <t>01.1.165</t>
  </si>
  <si>
    <t>Chevrolet 9.5 Cab. Ø 22 Vast.14mm</t>
  </si>
  <si>
    <t>01.1.166</t>
  </si>
  <si>
    <t>Chevrolet 10.0 Cab. Ø 22 Vast.14mm</t>
  </si>
  <si>
    <t>01.1.167</t>
  </si>
  <si>
    <t>Chevrolet 9.0 Cab. Ø22 Vast.14mm</t>
  </si>
  <si>
    <t>01.1.168</t>
  </si>
  <si>
    <t>Chevrolet 9.7</t>
  </si>
  <si>
    <t>01.1.169</t>
  </si>
  <si>
    <t>01.1.170</t>
  </si>
  <si>
    <t>VW Amarok 17.7</t>
  </si>
  <si>
    <t>01.1.171</t>
  </si>
  <si>
    <t>Gol Trend 6 Cab. Ø15</t>
  </si>
  <si>
    <t>01.1.172</t>
  </si>
  <si>
    <t>Fiat Fire Sachs 7.50 Cab. Ø15</t>
  </si>
  <si>
    <t>01.1.173</t>
  </si>
  <si>
    <t>Chevrolet 9.25 Cab. Ø19</t>
  </si>
  <si>
    <t>01.1.174</t>
  </si>
  <si>
    <t>7.00 Placa Sachs</t>
  </si>
  <si>
    <t>01.1.176</t>
  </si>
  <si>
    <t>8.7 Econo</t>
  </si>
  <si>
    <t>01.1.177</t>
  </si>
  <si>
    <t>Toyota Hilux</t>
  </si>
  <si>
    <t>01.1.178</t>
  </si>
  <si>
    <t>10.5 Cab. Ø22 Vast. 14mm</t>
  </si>
  <si>
    <t>Remaches para diafragmas en acero          Material: SAE 5135</t>
  </si>
  <si>
    <t>02.2.200</t>
  </si>
  <si>
    <t>Fiat 128/Junior 7.0</t>
  </si>
  <si>
    <t>02.2.201</t>
  </si>
  <si>
    <t>VW Senda-Escort 7.3</t>
  </si>
  <si>
    <t>02.2.202</t>
  </si>
  <si>
    <t>Renault 12 200mm 7.5</t>
  </si>
  <si>
    <t>02.2.203</t>
  </si>
  <si>
    <t>Renault 18/BA-7 7.8</t>
  </si>
  <si>
    <t>02.2.204</t>
  </si>
  <si>
    <t>Fiat 125 8.1</t>
  </si>
  <si>
    <t>02.2.205</t>
  </si>
  <si>
    <t>Chevrolet/Econo 8.7</t>
  </si>
  <si>
    <t>02.2.206</t>
  </si>
  <si>
    <t>Chevrolet 9.0</t>
  </si>
  <si>
    <t>02.2.208</t>
  </si>
  <si>
    <t>Opel 8.5</t>
  </si>
  <si>
    <t>02.2.212</t>
  </si>
  <si>
    <t>Mercedes Benz 1114 Sachs 9.5</t>
  </si>
  <si>
    <t>02.2.213</t>
  </si>
  <si>
    <t>Chevrolet 10.5</t>
  </si>
  <si>
    <t>02.2.214</t>
  </si>
  <si>
    <t>BA-7 8.3</t>
  </si>
  <si>
    <t>02.2.215</t>
  </si>
  <si>
    <t>Chevrolet 10</t>
  </si>
  <si>
    <t>02.2.217</t>
  </si>
  <si>
    <t>Remaches para diafragmas en acero (con temple inductivo)     Material: SAE 5135</t>
  </si>
  <si>
    <t>03.2.300</t>
  </si>
  <si>
    <t>03.2.301</t>
  </si>
  <si>
    <t>Senda/Escort 7.3</t>
  </si>
  <si>
    <t>03.2.302</t>
  </si>
  <si>
    <t>03.2.303</t>
  </si>
  <si>
    <t>03.2.304</t>
  </si>
  <si>
    <t>03.2.305</t>
  </si>
  <si>
    <t>Econo 8.7mm</t>
  </si>
  <si>
    <t>03.2.306</t>
  </si>
  <si>
    <t>03.2.308</t>
  </si>
  <si>
    <t>03.2.309</t>
  </si>
  <si>
    <t>03.2.310</t>
  </si>
  <si>
    <t>Chevrolet 9.5</t>
  </si>
  <si>
    <t>Remaches para diafragmas (línea pesada)          Material: SAE 5135</t>
  </si>
  <si>
    <t>04.1.400</t>
  </si>
  <si>
    <t>Mercedes Benz 1114 Carcaza Fund.</t>
  </si>
  <si>
    <t>04.2.401</t>
  </si>
  <si>
    <t>Ford F100 Liviano 10.3</t>
  </si>
  <si>
    <t>04.2.402</t>
  </si>
  <si>
    <t>Ford F100 Pesado 10.5</t>
  </si>
  <si>
    <t>04.2.403</t>
  </si>
  <si>
    <t>Ford 350/600 10.7</t>
  </si>
  <si>
    <t>04.2.404</t>
  </si>
  <si>
    <t>Mercedes Benz 1114 10.9</t>
  </si>
  <si>
    <t>04.2.405</t>
  </si>
  <si>
    <t>Mercedes Benz 1315 11.8</t>
  </si>
  <si>
    <t>04.2.406</t>
  </si>
  <si>
    <t>Mercedes Benz 1315 12.3</t>
  </si>
  <si>
    <t>04.2.407</t>
  </si>
  <si>
    <t>Mercedes Benz 1315 12.5</t>
  </si>
  <si>
    <t>04.2.408</t>
  </si>
  <si>
    <t>Mercedes Benz 1315 11.5</t>
  </si>
  <si>
    <t>04.2.409</t>
  </si>
  <si>
    <t>Scania 12.5</t>
  </si>
  <si>
    <t>04.2.410</t>
  </si>
  <si>
    <t>Scania 12.5 Roscado</t>
  </si>
  <si>
    <t>M10X1,25</t>
  </si>
  <si>
    <t>04.2.411</t>
  </si>
  <si>
    <t>Scania 12.7</t>
  </si>
  <si>
    <t>04.2.412</t>
  </si>
  <si>
    <t>Scania 12.7 Roscado</t>
  </si>
  <si>
    <t>04.2.413</t>
  </si>
  <si>
    <t>Scania 13.2</t>
  </si>
  <si>
    <t>04.2.414</t>
  </si>
  <si>
    <t>Scania 13.2 Roscado</t>
  </si>
  <si>
    <t>04.2.415</t>
  </si>
  <si>
    <t>Scania 13.5</t>
  </si>
  <si>
    <t>04.2.416</t>
  </si>
  <si>
    <t>Scania 13.5 Roscado</t>
  </si>
  <si>
    <t>04.2.417</t>
  </si>
  <si>
    <t>Scania 14.5</t>
  </si>
  <si>
    <t>04.2.418</t>
  </si>
  <si>
    <t>Scania 14.5 Roscado</t>
  </si>
  <si>
    <t>04.2.419</t>
  </si>
  <si>
    <t>Fiat Iveco 15.0</t>
  </si>
  <si>
    <t>04.2.420</t>
  </si>
  <si>
    <t>Fiat Iveco 15.0 Roscado</t>
  </si>
  <si>
    <t>04.2.421</t>
  </si>
  <si>
    <t>Mercedes Benz 1114 Luk 10,0</t>
  </si>
  <si>
    <t>04.2.422</t>
  </si>
  <si>
    <t>Mercedes Benz 1517 11.5</t>
  </si>
  <si>
    <t>04.2.423</t>
  </si>
  <si>
    <t>Mercedes Benz 1517 luk 14.0</t>
  </si>
  <si>
    <t>04.2.424</t>
  </si>
  <si>
    <t>Ford 7000 9.80</t>
  </si>
  <si>
    <t>04.2.425</t>
  </si>
  <si>
    <t>Ford F100 10.0</t>
  </si>
  <si>
    <t>04.2.426</t>
  </si>
  <si>
    <t xml:space="preserve"> Mercedes Benz1315 Luk 11.5 Vast. 7.9mm</t>
  </si>
  <si>
    <t>04.2.428</t>
  </si>
  <si>
    <t>Mercedes Benz 1315 12.1</t>
  </si>
  <si>
    <t>04.2.430</t>
  </si>
  <si>
    <t>Mitsubishi Canter 10.0</t>
  </si>
  <si>
    <t>04.2.431</t>
  </si>
  <si>
    <t>Mercedes Benz 1517 11.0</t>
  </si>
  <si>
    <t>04.2.432</t>
  </si>
  <si>
    <t>Ford 14000 9.8</t>
  </si>
  <si>
    <t>04.2.433</t>
  </si>
  <si>
    <t>Mercedes Benz 1620 Carcaza Chapa 11.0</t>
  </si>
  <si>
    <t>04.2.436</t>
  </si>
  <si>
    <t>Mercedes Benz 1315 11.3</t>
  </si>
  <si>
    <t>04.2.437</t>
  </si>
  <si>
    <t>Ford F100</t>
  </si>
  <si>
    <t>04.2.438</t>
  </si>
  <si>
    <t>Scania 13.0 Roscado</t>
  </si>
  <si>
    <t>04.2.439</t>
  </si>
  <si>
    <t>Ford F100 Luk 9.5</t>
  </si>
  <si>
    <t>04.2.440</t>
  </si>
  <si>
    <t>Mercedes Benz 1315 11.5 Super</t>
  </si>
  <si>
    <t>04.2.441</t>
  </si>
  <si>
    <t>Mercedes Benz 1315 11.8 Super</t>
  </si>
  <si>
    <t>04.2.442</t>
  </si>
  <si>
    <t>Mercedes Benz 1315 Carcaza Chapa 11.8</t>
  </si>
  <si>
    <t>04.2.443</t>
  </si>
  <si>
    <t>Mercedes Benz 1517 11.3</t>
  </si>
  <si>
    <t>04.2.444</t>
  </si>
  <si>
    <t>Mercedes Benz 1315 12.1 Super</t>
  </si>
  <si>
    <t>04.2.445</t>
  </si>
  <si>
    <t>Mercedes Benz 1315 12.3 Super</t>
  </si>
  <si>
    <t>04.2.446</t>
  </si>
  <si>
    <t>Mercedes Benz 1315 12.5 Super</t>
  </si>
  <si>
    <t>04.2.447</t>
  </si>
  <si>
    <t>Mercedes Benz 1315 Electrónico 19.5mm</t>
  </si>
  <si>
    <t>04.2.447/1</t>
  </si>
  <si>
    <t>Valeo Electronico 18,50mm</t>
  </si>
  <si>
    <t>04.2.447/2</t>
  </si>
  <si>
    <t>Valeo Electrónico 18,00mm</t>
  </si>
  <si>
    <t>x</t>
  </si>
  <si>
    <t>04.2.447/3</t>
  </si>
  <si>
    <t>Valeo Electrónico 19,00mm</t>
  </si>
  <si>
    <t>04.2.447/4</t>
  </si>
  <si>
    <t>Valeo 13" 16.50mm</t>
  </si>
  <si>
    <t>04.2.448</t>
  </si>
  <si>
    <t>Mercedes Benz 1215 Carcaza Chapa 11.5</t>
  </si>
  <si>
    <t>04.2.455</t>
  </si>
  <si>
    <t>Mercedes Benz 1315 12.3mm V/C Ø8mm</t>
  </si>
  <si>
    <t>04.2.456</t>
  </si>
  <si>
    <t>Mercedes Benz 1315 11.8 Carcaza Chapa Ø8,40mm</t>
  </si>
  <si>
    <t>04.2.457</t>
  </si>
  <si>
    <t>Scania 13.0</t>
  </si>
  <si>
    <t>04.2.458</t>
  </si>
  <si>
    <t>Mercedes Benz 1315 11.3 Super</t>
  </si>
  <si>
    <t>04.2.460</t>
  </si>
  <si>
    <t>Mercedes Benz 1315 Luk 11.80  Vast. Ø9.90</t>
  </si>
  <si>
    <t>04.2.461</t>
  </si>
  <si>
    <t>VW Ómnibus de tire 27.0mm Placa Luk</t>
  </si>
  <si>
    <t>04.2.462</t>
  </si>
  <si>
    <t>Mercedes Benz Luk 11.00  Vast. Ø9,90</t>
  </si>
  <si>
    <t>04.2.463</t>
  </si>
  <si>
    <t>Mercedes Benz Electrónico 11.30 V/C 7,90</t>
  </si>
  <si>
    <t>04.2.464</t>
  </si>
  <si>
    <t>Mercedes Benz Electrónico 11.30 V/C 8.40</t>
  </si>
  <si>
    <t>04.2.465</t>
  </si>
  <si>
    <t>Mercedes Benz 11.5 V/C  Ø8.40</t>
  </si>
  <si>
    <t>04.2.466</t>
  </si>
  <si>
    <t>Mercedes Benz 1215 12.1 V/C</t>
  </si>
  <si>
    <t>04.2.467</t>
  </si>
  <si>
    <t>Mercedes Benz 1315 Luk 11.3 Vast. Ø9,90</t>
  </si>
  <si>
    <t>04.2.469</t>
  </si>
  <si>
    <t>Mercedes Benz 12.5 V/C Ø7,90</t>
  </si>
  <si>
    <t>04.1.470</t>
  </si>
  <si>
    <t>Mazda Camión 10.5</t>
  </si>
  <si>
    <t>04.2.472</t>
  </si>
  <si>
    <t>Mercedes Benz 12.3 V/C Ø8.40mm</t>
  </si>
  <si>
    <t>04.2.473</t>
  </si>
  <si>
    <t>Mercedes Benz 1315 Luk 11.00 Vast. Ø9.90</t>
  </si>
  <si>
    <t>04.2.479</t>
  </si>
  <si>
    <t>Mercedes Benz 12.1 V/C Ø8.4</t>
  </si>
  <si>
    <t>04.2.480</t>
  </si>
  <si>
    <t>Mercedes Benz 1315 Luk 12,00 vast.Ø9,90</t>
  </si>
  <si>
    <t>04.2.481</t>
  </si>
  <si>
    <t>Mercedes Benz 1315 Luk 12,50 Vast. Ø9,90</t>
  </si>
  <si>
    <t>04.2.483</t>
  </si>
  <si>
    <t xml:space="preserve"> Mercedes Benz 1315 Luk 12,30 Vast. Ø9,90</t>
  </si>
  <si>
    <t>Remaches para carcazas          Material: SAE 1010 / 1038</t>
  </si>
  <si>
    <t>Altura C</t>
  </si>
  <si>
    <t>Tubulado</t>
  </si>
  <si>
    <t>05.1.500</t>
  </si>
  <si>
    <t>5 x 8 Cab. Ø9</t>
  </si>
  <si>
    <t>NO</t>
  </si>
  <si>
    <t>05.1.501</t>
  </si>
  <si>
    <t>6 x 10 Cab. Ø12.5</t>
  </si>
  <si>
    <t xml:space="preserve">SI </t>
  </si>
  <si>
    <t>05.1.502</t>
  </si>
  <si>
    <t>7 x 8 Cab. Ø13.5</t>
  </si>
  <si>
    <t>05.1.503</t>
  </si>
  <si>
    <t>7 x 10 Cab. Ø13.5</t>
  </si>
  <si>
    <t>05.1.504</t>
  </si>
  <si>
    <t>05.1.505</t>
  </si>
  <si>
    <t>8 x 10 Cab. Ø15</t>
  </si>
  <si>
    <t>05.1.506</t>
  </si>
  <si>
    <t>8 x 13 Cab. Ø15</t>
  </si>
  <si>
    <t>05.1.507</t>
  </si>
  <si>
    <t>8 x 16 Cab. Ø15</t>
  </si>
  <si>
    <t>05.1.508</t>
  </si>
  <si>
    <t>8 x 14.5 Cab. Ø15</t>
  </si>
  <si>
    <t>05.1.509</t>
  </si>
  <si>
    <t>6 x 11.5 Cab. Ø11.5</t>
  </si>
  <si>
    <t>05.1.510</t>
  </si>
  <si>
    <t>5 x 13 Cab. Ø9</t>
  </si>
  <si>
    <t>05.1.511</t>
  </si>
  <si>
    <t>5 x 10 Cab. Ø9</t>
  </si>
  <si>
    <t>05.1.512</t>
  </si>
  <si>
    <t>11.8 x 31.5 Cab. Ø17.5</t>
  </si>
  <si>
    <t>05.1.514</t>
  </si>
  <si>
    <t>8.3 x 16 Cab. Ø15</t>
  </si>
  <si>
    <t>05.1.515</t>
  </si>
  <si>
    <t>8.3 x 25 Cab. Ø15</t>
  </si>
  <si>
    <t>05.1.517</t>
  </si>
  <si>
    <t>10 x 29 Cab. Ø16</t>
  </si>
  <si>
    <t>05.1.518</t>
  </si>
  <si>
    <t>8.3 x 27 Cab. Ø15</t>
  </si>
  <si>
    <t>SI</t>
  </si>
  <si>
    <t>05.1.519</t>
  </si>
  <si>
    <t>5 x 11 Cab. Ø10</t>
  </si>
  <si>
    <t>05.1.520</t>
  </si>
  <si>
    <t>8 x 10 Cab. Fina Ø14.5</t>
  </si>
  <si>
    <t>05.1.521</t>
  </si>
  <si>
    <t>8 x 12 Cab. Fina Ø14.5</t>
  </si>
  <si>
    <t>05.1.522</t>
  </si>
  <si>
    <t>6 x 10 Cab. Ø9</t>
  </si>
  <si>
    <t>05.1.523</t>
  </si>
  <si>
    <t>7 x 10 Cab.Fina Ø13.5</t>
  </si>
  <si>
    <t>05.1.524</t>
  </si>
  <si>
    <t xml:space="preserve"> 5 x 11 Cab. Ø9</t>
  </si>
  <si>
    <t>05.1.525</t>
  </si>
  <si>
    <t>10 x 17 Cab. Ø16</t>
  </si>
  <si>
    <t>05.1.526</t>
  </si>
  <si>
    <t>10 x 19 Cab. Ø16</t>
  </si>
  <si>
    <t>05.1.528</t>
  </si>
  <si>
    <t>10 x 14 Cab. Ø16.5</t>
  </si>
  <si>
    <t>05.1.529</t>
  </si>
  <si>
    <t>5 x 10 Cab. Ø10</t>
  </si>
  <si>
    <t>05.1.531</t>
  </si>
  <si>
    <t>6x10 Cab. Ø 11.5x1.40</t>
  </si>
  <si>
    <t>Remaches para fundiciones          Material: SAE 1010 / 1038</t>
  </si>
  <si>
    <t xml:space="preserve">Precio (U)   </t>
  </si>
  <si>
    <t>06.1.600</t>
  </si>
  <si>
    <t>5 x 18 Cab. Ø11</t>
  </si>
  <si>
    <t>06.1.601</t>
  </si>
  <si>
    <t>6 x 13 Cab. Ø12.5</t>
  </si>
  <si>
    <t>06.1.602</t>
  </si>
  <si>
    <t>6 x 18 Cab. Ø12.5</t>
  </si>
  <si>
    <t>06.1.603</t>
  </si>
  <si>
    <t>6 x 21 Cab. Ø12.5</t>
  </si>
  <si>
    <t>06.1.604</t>
  </si>
  <si>
    <t>7 x 13 Cab. Ø13.50</t>
  </si>
  <si>
    <t>06.1.605</t>
  </si>
  <si>
    <t>7 x 16 Cab. Ø13.50</t>
  </si>
  <si>
    <t>06.1.606</t>
  </si>
  <si>
    <t>7 x 18 Cab. Ø13.50</t>
  </si>
  <si>
    <t>06.1.607</t>
  </si>
  <si>
    <t>7 x 20 Cab. Ø13.50</t>
  </si>
  <si>
    <t>06.1.608</t>
  </si>
  <si>
    <t>06.1.609</t>
  </si>
  <si>
    <t>8 x 18 Cab. Ø15</t>
  </si>
  <si>
    <t>06.1.610</t>
  </si>
  <si>
    <t>8 x 21 Cab. Ø15</t>
  </si>
  <si>
    <t>06.1.611</t>
  </si>
  <si>
    <t>8 x 25 Cab. Ø15</t>
  </si>
  <si>
    <t>06.1.612</t>
  </si>
  <si>
    <t>8 x 29 Cab. Ø15</t>
  </si>
  <si>
    <t>06.1.613</t>
  </si>
  <si>
    <t>8 x 32 Cab. Ø15</t>
  </si>
  <si>
    <t>06.1.614</t>
  </si>
  <si>
    <t>8.3 x 22 Cab. Ø15</t>
  </si>
  <si>
    <t>06.1.615</t>
  </si>
  <si>
    <t>8.3x 25 Cab. Ø15</t>
  </si>
  <si>
    <t>06.1.616</t>
  </si>
  <si>
    <t>10 x 25 Cab. Ø16.5</t>
  </si>
  <si>
    <t>06.1.617</t>
  </si>
  <si>
    <t>11.8 x 25 Cab. Ø17.5</t>
  </si>
  <si>
    <t>06.1.618</t>
  </si>
  <si>
    <t>5 x 13 Cab. Ø10</t>
  </si>
  <si>
    <t>06.1.619</t>
  </si>
  <si>
    <t>5 x 16 Cab. Ø10</t>
  </si>
  <si>
    <t>06.1.620</t>
  </si>
  <si>
    <t>6 x 13 Cab. Ø9</t>
  </si>
  <si>
    <t>06.1.621</t>
  </si>
  <si>
    <t>7 x 13 Cab. Ø9.5</t>
  </si>
  <si>
    <t>06.1.622</t>
  </si>
  <si>
    <t>6 x 18 Cab. Ø9</t>
  </si>
  <si>
    <t>06.1.623</t>
  </si>
  <si>
    <t>7 x 13 Cab. Ø14 cab.fina</t>
  </si>
  <si>
    <t>06.1.625</t>
  </si>
  <si>
    <t>7 x 12 Cab. Ø13.5</t>
  </si>
  <si>
    <t>06.1.626</t>
  </si>
  <si>
    <t>7 x 14 Cab. Ø13.5</t>
  </si>
  <si>
    <t>06.1.627</t>
  </si>
  <si>
    <t>7 x 15 Cab. Ø13.5</t>
  </si>
  <si>
    <t>06.1.628</t>
  </si>
  <si>
    <t>7 x 17 Cab. Ø13.5</t>
  </si>
  <si>
    <t>06.1.629</t>
  </si>
  <si>
    <t>6 x 16 Cab. Ø12,5</t>
  </si>
  <si>
    <t>06.1.630</t>
  </si>
  <si>
    <t>7 x 16 Cab. Ø9</t>
  </si>
  <si>
    <t>06.1.631</t>
  </si>
  <si>
    <t>5 x 14 Cab. Ø10</t>
  </si>
  <si>
    <t>06.1.632</t>
  </si>
  <si>
    <t>8.3 x 16 Cab. Ø12</t>
  </si>
  <si>
    <t>06.1.633</t>
  </si>
  <si>
    <t>6 x 14.5 Cab. Ø9</t>
  </si>
  <si>
    <t>06.1.634</t>
  </si>
  <si>
    <t>8 x 21 Cab. Ø13</t>
  </si>
  <si>
    <t>06.1.635</t>
  </si>
  <si>
    <t>8 x 17 Cab. Ø13</t>
  </si>
  <si>
    <t>06.1.636</t>
  </si>
  <si>
    <t>8 x 19 Cab. Ø13</t>
  </si>
  <si>
    <t>06.1.637</t>
  </si>
  <si>
    <t>10 x 32 Cab. Ø15</t>
  </si>
  <si>
    <t>06.1.638</t>
  </si>
  <si>
    <t>7 x 18 Cab. Ø9</t>
  </si>
  <si>
    <t>06.1.639</t>
  </si>
  <si>
    <t>6 x 16 Cab. Ø9</t>
  </si>
  <si>
    <t>06.1.640</t>
  </si>
  <si>
    <t>7 x 22 Cab. Ø13.5</t>
  </si>
  <si>
    <t>06.1.642</t>
  </si>
  <si>
    <t>6 x 12 Cab. Ø12.5</t>
  </si>
  <si>
    <t>06.1.643</t>
  </si>
  <si>
    <t>10 x 25 Cab. Ø15 Scania c/capuchón</t>
  </si>
  <si>
    <t>06.1.645</t>
  </si>
  <si>
    <t xml:space="preserve"> 5 x 16 Valeo</t>
  </si>
  <si>
    <t>06.1.646</t>
  </si>
  <si>
    <t>8 x 14 Cab. Ø13</t>
  </si>
  <si>
    <t>06.1.647</t>
  </si>
  <si>
    <t>8 x 28 Cab. Ø11</t>
  </si>
  <si>
    <t>06.1.648</t>
  </si>
  <si>
    <t>7 x 39 Cab. Ø13.5</t>
  </si>
  <si>
    <t>06.1.649</t>
  </si>
  <si>
    <t>9 x 21 Cab. Ø15</t>
  </si>
  <si>
    <t>06.1.650</t>
  </si>
  <si>
    <t>Volante Neon 8.80 x 26 Cab. Ø15</t>
  </si>
  <si>
    <t>06.1.651</t>
  </si>
  <si>
    <t>9 x 29 Cab. Ø15</t>
  </si>
  <si>
    <t>06.1.652</t>
  </si>
  <si>
    <t>10.25 x 29 Cab. Ø16.5</t>
  </si>
  <si>
    <t>06.1.653</t>
  </si>
  <si>
    <t>8 x 35 Cab. Ø15</t>
  </si>
  <si>
    <t>06.1.654</t>
  </si>
  <si>
    <t>06.1.655</t>
  </si>
  <si>
    <t>Neón y Varios 9 x 31 Cab. Ø15</t>
  </si>
  <si>
    <t>06.1.656</t>
  </si>
  <si>
    <t>Mercedes Benz 1113 6 x 26 Cab.Ø12.5</t>
  </si>
  <si>
    <t>06.1.657</t>
  </si>
  <si>
    <t>9 x 35 Cab. Ø15</t>
  </si>
  <si>
    <t>06.1.658</t>
  </si>
  <si>
    <t>7 x 22 Cab. Ø9</t>
  </si>
  <si>
    <t>06.1.659</t>
  </si>
  <si>
    <t>7 x 32 Cab. Ø9</t>
  </si>
  <si>
    <t>06.1.661</t>
  </si>
  <si>
    <t xml:space="preserve">6 x 14,5 Cab. Ø12.5 </t>
  </si>
  <si>
    <t>06.1.662</t>
  </si>
  <si>
    <t>8 x 27 Cab. Ø15</t>
  </si>
  <si>
    <t>06.1.663</t>
  </si>
  <si>
    <t>6 x 13 Cab. Fina Ø11.5</t>
  </si>
  <si>
    <t>06.1.664</t>
  </si>
  <si>
    <t>6 x 15 Cab.  Fina Ø11.5</t>
  </si>
  <si>
    <t>06.1.665</t>
  </si>
  <si>
    <t>6.30 x 25 Cab. Ø12</t>
  </si>
  <si>
    <t>06.2.637/1</t>
  </si>
  <si>
    <t>10 x 21 Cab. Ø15 macizo especial</t>
  </si>
  <si>
    <t>Remaches para láminas de disco          Material: SAE 1010</t>
  </si>
  <si>
    <t>07.1.700</t>
  </si>
  <si>
    <t>IKA</t>
  </si>
  <si>
    <t>07.1.701</t>
  </si>
  <si>
    <t>Massey Ferguson</t>
  </si>
  <si>
    <t>07.1.702</t>
  </si>
  <si>
    <t>Fiat 619/Scania</t>
  </si>
  <si>
    <t>07.1.703</t>
  </si>
  <si>
    <t>Chapón tipo original 12mm 6x6</t>
  </si>
  <si>
    <t>07.1.704</t>
  </si>
  <si>
    <t>Chapón 13/14/15/16,5/17mm</t>
  </si>
  <si>
    <t>07.1.705</t>
  </si>
  <si>
    <t>Mercedes Benz 1114 11mm</t>
  </si>
  <si>
    <t>07.1.706</t>
  </si>
  <si>
    <t>Massey Ferguson Cab. Ø9 1.2mm</t>
  </si>
  <si>
    <t>07.1.708</t>
  </si>
  <si>
    <t>Chapón 5 x 8 Cab. Ø9 x 1.3mm</t>
  </si>
  <si>
    <t>07.1.709</t>
  </si>
  <si>
    <t>6 x 6 Cab. Ø9 x 1.2mm</t>
  </si>
  <si>
    <t>07.1.710</t>
  </si>
  <si>
    <t>6 x 10 Cab. Ø11 x 1.5mm</t>
  </si>
  <si>
    <t>07.1.711</t>
  </si>
  <si>
    <t>3.90 x 12.7 Cab. Ø7.9</t>
  </si>
  <si>
    <t>07.1.712</t>
  </si>
  <si>
    <t>3.90 x 10 Cab. Ø7.9</t>
  </si>
  <si>
    <t>07.1.713</t>
  </si>
  <si>
    <t>4,80 x 8 Cab. Ø9 x 2mm</t>
  </si>
  <si>
    <t>07.1.714</t>
  </si>
  <si>
    <t>4,80 x 9,50 Cab.Ø9x 2mm</t>
  </si>
  <si>
    <t>07.1.715</t>
  </si>
  <si>
    <t>Chapón 6 x 5 Cab. Ø11 x 1.00mm</t>
  </si>
  <si>
    <t>07.1.716</t>
  </si>
  <si>
    <t>07.1.717</t>
  </si>
  <si>
    <t>6 x 7 Cab. Ø9 x 1.00mm</t>
  </si>
  <si>
    <t>Remaches para centro de discos y mazas rígidas          Material: SAE 1010</t>
  </si>
  <si>
    <t xml:space="preserve"> Diámetro B</t>
  </si>
  <si>
    <t xml:space="preserve"> Altura C</t>
  </si>
  <si>
    <t>08.1.800</t>
  </si>
  <si>
    <t>CD Citroen 5x11 Cab. Ø9</t>
  </si>
  <si>
    <t>08.1.801</t>
  </si>
  <si>
    <t>MR 8 x 14 Cab. Ø13</t>
  </si>
  <si>
    <t>08.1.802</t>
  </si>
  <si>
    <t>MR 8 x 17 Cab. Ø13</t>
  </si>
  <si>
    <t>08.1.803</t>
  </si>
  <si>
    <t>MR 8 x 19 Cab. Ø13</t>
  </si>
  <si>
    <t>08.1.804</t>
  </si>
  <si>
    <t>MR 8 x 21 Cab. Ø13</t>
  </si>
  <si>
    <t>08.1.805</t>
  </si>
  <si>
    <t xml:space="preserve"> MR 10 x 19 Cab. Ø15 </t>
  </si>
  <si>
    <t>08.1.806</t>
  </si>
  <si>
    <t>CD Mercedes Benz1517 Amortex 8 x 29 Cab. Ø15</t>
  </si>
  <si>
    <t>08.1.807</t>
  </si>
  <si>
    <t>CD Mercedes Benz 1620/1521/1315 8 x 32 Cab. Ø15</t>
  </si>
  <si>
    <t>08.1.808</t>
  </si>
  <si>
    <t>CD Mercedes Benz/Iveco/Scania 8 x 35 Cab. Ø15</t>
  </si>
  <si>
    <t>08.1.809</t>
  </si>
  <si>
    <t>CD Mercedes Benz 1517 Amortex 8 x 42 Cab. Ø13</t>
  </si>
  <si>
    <t>08.1.810</t>
  </si>
  <si>
    <t xml:space="preserve">Scania/Mercedes Benz 1634 9 x 31 Cab. Ø15 </t>
  </si>
  <si>
    <t>08.1.811</t>
  </si>
  <si>
    <t>CD Mercedes Benz 1113 Amortex 6 x 26 Cab. Ø12.5</t>
  </si>
  <si>
    <t>08.1.812</t>
  </si>
  <si>
    <t>MR Competición 6.3 x 8 Cab. Ø12.5 2mm</t>
  </si>
  <si>
    <t>08.1.813</t>
  </si>
  <si>
    <t>MR Ford Cargo 6.3 x 25 Cab. Ø12</t>
  </si>
  <si>
    <t>08.1.814</t>
  </si>
  <si>
    <t>Tapa/porta/lámina Nissan 3.9 x 8 Cab. Ø7</t>
  </si>
  <si>
    <t>08.1.815</t>
  </si>
  <si>
    <t>CD Scania reforma 9 x 35 Cab. Ø15</t>
  </si>
  <si>
    <t>08.1.816</t>
  </si>
  <si>
    <t>CD Mercedes Benz Luk 6 x 28 Cab. Ø12.5</t>
  </si>
  <si>
    <t>08.1.817</t>
  </si>
  <si>
    <t>CD Luk 362mm 8 x 28 Cab. Ø11</t>
  </si>
  <si>
    <t>08.1.818</t>
  </si>
  <si>
    <t>Conj.placa/volante 8 x 50 Cab. Ø15</t>
  </si>
  <si>
    <t>08.1.819</t>
  </si>
  <si>
    <t>CD 6 x 23 John Deere 5300/5400</t>
  </si>
  <si>
    <t>08.1.820</t>
  </si>
  <si>
    <t>08.1.821</t>
  </si>
  <si>
    <t>MR Competición 6.3 x 8 Cab. Ø12,5 x 1.5mm</t>
  </si>
  <si>
    <t>08.1.822</t>
  </si>
  <si>
    <t>MR Competición 4.9 x 8 Cab. Ø9.5 x 1.5mm</t>
  </si>
  <si>
    <t>08.1.823</t>
  </si>
  <si>
    <t>CD 6.3 x 21 Cab. Ø12</t>
  </si>
  <si>
    <t>08.1.824</t>
  </si>
  <si>
    <t>MR Competición 7 x 8 Cab. Ø12.5 x 1.3mm</t>
  </si>
  <si>
    <t>08.1.825</t>
  </si>
  <si>
    <t>CD 3.90 x 9.50 Cab. Ø8</t>
  </si>
  <si>
    <t>08.1.826</t>
  </si>
  <si>
    <t>4.90 x 22.5  Cab.Ø9 x 2mm</t>
  </si>
  <si>
    <t>08.1.827</t>
  </si>
  <si>
    <t>CD 6.3 x 28 Cab. Ø12.5</t>
  </si>
  <si>
    <t>08.1.828</t>
  </si>
  <si>
    <t>CD 6.3 x 13 Cab. Ø12.5</t>
  </si>
  <si>
    <t>08.1.829</t>
  </si>
  <si>
    <t>CD 8 x 21 Cab. Ø15</t>
  </si>
  <si>
    <t>08.1.830</t>
  </si>
  <si>
    <t>Volante bimaza 9 x 26 Cab. Ø15 macizo</t>
  </si>
  <si>
    <t>08.1.832</t>
  </si>
  <si>
    <t>CD 8 x 29 Cab. Ø12.5</t>
  </si>
  <si>
    <t>08.1.834</t>
  </si>
  <si>
    <t>CD 8 x 38 Cab. Ø15</t>
  </si>
  <si>
    <t>08.1.837</t>
  </si>
  <si>
    <t>CD 9 x 38.5 Cab. Ø15</t>
  </si>
  <si>
    <t>Registros reguladores para placas a levas          Material: SAE 1010 cementado</t>
  </si>
  <si>
    <t>Figura</t>
  </si>
  <si>
    <t>Altura A</t>
  </si>
  <si>
    <t>09.1.900</t>
  </si>
  <si>
    <t>Renault - Citroen</t>
  </si>
  <si>
    <t>09.1.901</t>
  </si>
  <si>
    <t>Renault 33mm</t>
  </si>
  <si>
    <t>09.1.902</t>
  </si>
  <si>
    <t xml:space="preserve">Renault - Citroen </t>
  </si>
  <si>
    <t>09.1.903</t>
  </si>
  <si>
    <t>Siam brochado 50mm</t>
  </si>
  <si>
    <t>Figura 1</t>
  </si>
  <si>
    <t>Rosca</t>
  </si>
  <si>
    <t>09.1.904</t>
  </si>
  <si>
    <t>IKA 52mm</t>
  </si>
  <si>
    <t>09.1.905</t>
  </si>
  <si>
    <t>IKA/Dodge 54mm</t>
  </si>
  <si>
    <t>09.1.906</t>
  </si>
  <si>
    <t>Dodge/Clark 57mm</t>
  </si>
  <si>
    <t>09.1.907</t>
  </si>
  <si>
    <t>Peugeot 404 44mm</t>
  </si>
  <si>
    <t>09.1.908</t>
  </si>
  <si>
    <t>Rastrojero 42HP 48mm</t>
  </si>
  <si>
    <t>Figura 2</t>
  </si>
  <si>
    <t>09.1.909</t>
  </si>
  <si>
    <t>Mercedes Benz 170/Peugeot 403 45mm</t>
  </si>
  <si>
    <t>09.1.910</t>
  </si>
  <si>
    <t>Fiat 619 M/V 10x77</t>
  </si>
  <si>
    <t>Pernos pasadores para placas a levas          Material: SAE 1010 cementado</t>
  </si>
  <si>
    <t>10.1.100</t>
  </si>
  <si>
    <t>Perno pasador largo Ford/Mercedes Benz</t>
  </si>
  <si>
    <t>10.1.101</t>
  </si>
  <si>
    <t>Perno pasador corto Ford/Mercedes Benz</t>
  </si>
  <si>
    <t>10.1.105</t>
  </si>
  <si>
    <t>Remache de leva Luk 10.1 x 10.0 Vast. 7.9x8.0</t>
  </si>
  <si>
    <t>Remaches para discos          Material: SAE 1010 / 1212</t>
  </si>
  <si>
    <t>Altura B</t>
  </si>
  <si>
    <t>Diámetro D</t>
  </si>
  <si>
    <t>Diámetro E</t>
  </si>
  <si>
    <t>Vástago</t>
  </si>
  <si>
    <t>T / M</t>
  </si>
  <si>
    <t>11.1.106</t>
  </si>
  <si>
    <t>IKA/Falcon 5.5</t>
  </si>
  <si>
    <t>P</t>
  </si>
  <si>
    <t>T</t>
  </si>
  <si>
    <t>11.1.108</t>
  </si>
  <si>
    <t>IKA 5.5</t>
  </si>
  <si>
    <t>D</t>
  </si>
  <si>
    <t>11.1.110</t>
  </si>
  <si>
    <t>Fiat 600/Renault 6 6.0</t>
  </si>
  <si>
    <t>11.1.112</t>
  </si>
  <si>
    <t>BA-7 6.0</t>
  </si>
  <si>
    <t>11.1.114</t>
  </si>
  <si>
    <t xml:space="preserve">BA-7 6.5mm </t>
  </si>
  <si>
    <t>11.1.116</t>
  </si>
  <si>
    <t>BA-7 Wobron 6.5</t>
  </si>
  <si>
    <t>11.1.118</t>
  </si>
  <si>
    <t>IKA 7.0</t>
  </si>
  <si>
    <t>11.1.120</t>
  </si>
  <si>
    <t xml:space="preserve">Taunus 7.0 </t>
  </si>
  <si>
    <t>11.1.122</t>
  </si>
  <si>
    <t>BA-7 7.5</t>
  </si>
  <si>
    <t>11.1.124</t>
  </si>
  <si>
    <t>11.1.126</t>
  </si>
  <si>
    <t xml:space="preserve">BA-7 8.0 </t>
  </si>
  <si>
    <t>11.1.128</t>
  </si>
  <si>
    <t>Fiat 147 Diesel 8.0</t>
  </si>
  <si>
    <t>11.1.130</t>
  </si>
  <si>
    <t xml:space="preserve">Peugeot 404/Renault 12 9.0 </t>
  </si>
  <si>
    <t>11.1.132</t>
  </si>
  <si>
    <t>Peugeot 404/Renault 12 9.0</t>
  </si>
  <si>
    <t>11,1,134</t>
  </si>
  <si>
    <t xml:space="preserve">Econo 6 5.5 </t>
  </si>
  <si>
    <t>11.1.136</t>
  </si>
  <si>
    <t xml:space="preserve">Chevrolet Pick Up 6.0 </t>
  </si>
  <si>
    <t>11.1.138</t>
  </si>
  <si>
    <t xml:space="preserve">Econo 6/Chevrolet/350 7.0 </t>
  </si>
  <si>
    <t>11.1.140</t>
  </si>
  <si>
    <t>Peugeot 505/Renault 18 9.5</t>
  </si>
  <si>
    <t>11.1.141</t>
  </si>
  <si>
    <t>Telescop 14mm</t>
  </si>
  <si>
    <t>M</t>
  </si>
  <si>
    <t>11.1.142</t>
  </si>
  <si>
    <t xml:space="preserve">Telescop 14mm </t>
  </si>
  <si>
    <t>11.1.143</t>
  </si>
  <si>
    <t xml:space="preserve">Valeo varios 9.8  </t>
  </si>
  <si>
    <t>11.1.144</t>
  </si>
  <si>
    <t xml:space="preserve">Ford 4000 13.0 </t>
  </si>
  <si>
    <t>11.1.145</t>
  </si>
  <si>
    <t xml:space="preserve">Polo 8.0 </t>
  </si>
  <si>
    <t>11.1.146</t>
  </si>
  <si>
    <t>Corsa 7.0</t>
  </si>
  <si>
    <t>11.1.149</t>
  </si>
  <si>
    <t>Taunus 7.0 c/rebaje.</t>
  </si>
  <si>
    <t>9,5 / 8</t>
  </si>
  <si>
    <t>11.1.150</t>
  </si>
  <si>
    <t xml:space="preserve">Luk 8.0 </t>
  </si>
  <si>
    <t>11.1.151</t>
  </si>
  <si>
    <t xml:space="preserve">Luk 9.0 </t>
  </si>
  <si>
    <t>11.1.152</t>
  </si>
  <si>
    <t xml:space="preserve">Luk 11.0 </t>
  </si>
  <si>
    <t>11.1.153</t>
  </si>
  <si>
    <t>Valeo 10.70mm</t>
  </si>
  <si>
    <t>11.1.154</t>
  </si>
  <si>
    <t>Fiat 128/Duna Valeo 7.8 c/rebaje</t>
  </si>
  <si>
    <t>11.1.155</t>
  </si>
  <si>
    <t>Mercedes Benz Sprinter Sachs 11.0</t>
  </si>
  <si>
    <t>11.1.156</t>
  </si>
  <si>
    <t xml:space="preserve">Luk 10.0 </t>
  </si>
  <si>
    <t>11.1.157</t>
  </si>
  <si>
    <t xml:space="preserve">Telescop Super 14.0 </t>
  </si>
  <si>
    <t>11.1.158</t>
  </si>
  <si>
    <t xml:space="preserve">Fiat Iveco 8.0 </t>
  </si>
  <si>
    <t>11.1.159</t>
  </si>
  <si>
    <t xml:space="preserve">Peugeot Diesel Valeo 10.0 </t>
  </si>
  <si>
    <t>11.1.160</t>
  </si>
  <si>
    <t xml:space="preserve">Fiat 673/Ford 7000 11.0 </t>
  </si>
  <si>
    <t>11.1.161</t>
  </si>
  <si>
    <t>Escort/Fiesta Sachs 8.5</t>
  </si>
  <si>
    <t>11.1.162</t>
  </si>
  <si>
    <t xml:space="preserve">Transit/Toyota 10.0 </t>
  </si>
  <si>
    <t>11.1.163</t>
  </si>
  <si>
    <t xml:space="preserve">Peugeot Valeo reforma 10.5 </t>
  </si>
  <si>
    <t>11.1.164</t>
  </si>
  <si>
    <t xml:space="preserve">Escort/Fiesta Diesel Sachs 10.0 </t>
  </si>
  <si>
    <t>11.1.165</t>
  </si>
  <si>
    <t xml:space="preserve">Valeo 11.0 </t>
  </si>
  <si>
    <t>11.1.166</t>
  </si>
  <si>
    <t xml:space="preserve">Chevrolet D20 Turbo 12.0 </t>
  </si>
  <si>
    <t>11.1.167</t>
  </si>
  <si>
    <t xml:space="preserve">Valeo 13.0 </t>
  </si>
  <si>
    <t>11.1.168</t>
  </si>
  <si>
    <t xml:space="preserve">Valeo varios 10.5 </t>
  </si>
  <si>
    <t>11.1.169</t>
  </si>
  <si>
    <t xml:space="preserve">BA-7 Valeo 10.0 </t>
  </si>
  <si>
    <t>11,1,171</t>
  </si>
  <si>
    <t>Econo/Chevrolet/Ford 350 6.5</t>
  </si>
  <si>
    <t>11.1.172</t>
  </si>
  <si>
    <t xml:space="preserve">Valeo varios 9.2 </t>
  </si>
  <si>
    <t>11.1.173</t>
  </si>
  <si>
    <t xml:space="preserve">Polo 9.0 </t>
  </si>
  <si>
    <t>11.1.174</t>
  </si>
  <si>
    <t>Valeo varios 9.65 c/rebaje</t>
  </si>
  <si>
    <t>11.1.175</t>
  </si>
  <si>
    <t>Varios 8.0</t>
  </si>
  <si>
    <t>11.1.176</t>
  </si>
  <si>
    <t xml:space="preserve">5 ventanas 9.0  </t>
  </si>
  <si>
    <t>11.1.178</t>
  </si>
  <si>
    <t xml:space="preserve">Luk 8.5 </t>
  </si>
  <si>
    <t>11.1.179</t>
  </si>
  <si>
    <t xml:space="preserve">Pick-up varios 8.0 </t>
  </si>
  <si>
    <t>11.1.180</t>
  </si>
  <si>
    <t xml:space="preserve">Fiat 1500 7.0 </t>
  </si>
  <si>
    <t>11.1.181</t>
  </si>
  <si>
    <t xml:space="preserve">VW Kombi 7.5 </t>
  </si>
  <si>
    <t>11.1.182</t>
  </si>
  <si>
    <t xml:space="preserve">Polo 7.0 </t>
  </si>
  <si>
    <t>11.1.183</t>
  </si>
  <si>
    <t xml:space="preserve">Iveco blindado 18.0 </t>
  </si>
  <si>
    <t>11.1.186</t>
  </si>
  <si>
    <t>11.1.187</t>
  </si>
  <si>
    <t xml:space="preserve">13mm 9 remaches 15.0 </t>
  </si>
  <si>
    <t>11.1.188</t>
  </si>
  <si>
    <t>Polo 8.0</t>
  </si>
  <si>
    <t>11.1.190</t>
  </si>
  <si>
    <t xml:space="preserve">Luk 10.5  </t>
  </si>
  <si>
    <t>11.1.193</t>
  </si>
  <si>
    <t xml:space="preserve">Telescop 10mm 9.5  </t>
  </si>
  <si>
    <t>11.1.194</t>
  </si>
  <si>
    <t>Telescop 10mm 9.0</t>
  </si>
  <si>
    <t>11.1.196</t>
  </si>
  <si>
    <t xml:space="preserve">Peugeot BA-7 Diesel </t>
  </si>
  <si>
    <t>11.1.197</t>
  </si>
  <si>
    <t>Pick-up 9mm (7x9x7)</t>
  </si>
  <si>
    <t>11.1.200</t>
  </si>
  <si>
    <t xml:space="preserve">Telescop 10mm </t>
  </si>
  <si>
    <t>11.1.201</t>
  </si>
  <si>
    <t>Ford Ranger/Ford 100 Duty</t>
  </si>
  <si>
    <t>11.1.202</t>
  </si>
  <si>
    <t>Luk 12mm</t>
  </si>
  <si>
    <t>11.1.203</t>
  </si>
  <si>
    <t>Iveco Daily 14mm c/rebaje Ø280</t>
  </si>
  <si>
    <t>11.1.206</t>
  </si>
  <si>
    <t>Sachs 9.00mm</t>
  </si>
  <si>
    <t>11.1.211</t>
  </si>
  <si>
    <t>Pick-up 11mm Vast. 7mm</t>
  </si>
  <si>
    <t>11.1.215</t>
  </si>
  <si>
    <t>13mm Desparejo 6.3mm</t>
  </si>
  <si>
    <t>11.1.217</t>
  </si>
  <si>
    <t xml:space="preserve">Pick-up 10mm </t>
  </si>
  <si>
    <t>11.1.218</t>
  </si>
  <si>
    <t>Ranger 11" (8x11x8)</t>
  </si>
  <si>
    <t>11.1.230</t>
  </si>
  <si>
    <t>VW 12 ø13 (igual a 11.1.185)</t>
  </si>
  <si>
    <t>Bujes de goma para discos blindados</t>
  </si>
  <si>
    <t>12.1.001</t>
  </si>
  <si>
    <t>12.1.100</t>
  </si>
  <si>
    <t>12.B.001</t>
  </si>
  <si>
    <t>Mercedes Benz 1114 blindado</t>
  </si>
  <si>
    <t>12.B.002</t>
  </si>
  <si>
    <t>BA-7 10" blindado</t>
  </si>
  <si>
    <t>12.B.003</t>
  </si>
  <si>
    <t>Maza flotante diseño EM-FREN</t>
  </si>
  <si>
    <t>12.B.004</t>
  </si>
  <si>
    <t>Volvo</t>
  </si>
  <si>
    <t>12.B.005</t>
  </si>
  <si>
    <t>Fiat 600</t>
  </si>
  <si>
    <t>12.B.007</t>
  </si>
  <si>
    <t>Indenor/Toyota s/tope</t>
  </si>
  <si>
    <t>Remaches antiflexión, (tubulados)          Material: SAE 1010 / 1212</t>
  </si>
  <si>
    <t>13.1.103</t>
  </si>
  <si>
    <t xml:space="preserve">Iveco Valeo 10.0mm </t>
  </si>
  <si>
    <t>13.1.104</t>
  </si>
  <si>
    <t>Ford Ranger 11.0mm</t>
  </si>
  <si>
    <t>13.1.105</t>
  </si>
  <si>
    <t>Ford Ranger 13.0mm</t>
  </si>
  <si>
    <t>13.1.106</t>
  </si>
  <si>
    <t xml:space="preserve">Ranger modelo nuevo 11.5mm </t>
  </si>
  <si>
    <t>13.1.107</t>
  </si>
  <si>
    <t>Amarok 9mm</t>
  </si>
  <si>
    <t>13.1.108</t>
  </si>
  <si>
    <t>VW Cargo 365 Luk-IAR</t>
  </si>
  <si>
    <t>13.1.109</t>
  </si>
  <si>
    <t xml:space="preserve">Iveco Cavallino </t>
  </si>
  <si>
    <t>13.1.110</t>
  </si>
  <si>
    <t>Renault-Mercedes Benz- Scania tire 430mm</t>
  </si>
  <si>
    <t>Remaches para forros          Material: SAE 1010 zincados</t>
  </si>
  <si>
    <t>Precio (M)</t>
  </si>
  <si>
    <t>14.1.100</t>
  </si>
  <si>
    <t>4 . 3 semitubular</t>
  </si>
  <si>
    <t>CONSULTAR</t>
  </si>
  <si>
    <t>14.1.101</t>
  </si>
  <si>
    <t>4 . 4 semitubular</t>
  </si>
  <si>
    <t>14.1.102</t>
  </si>
  <si>
    <t>5 . 3 semitubular</t>
  </si>
  <si>
    <t>14.1.103</t>
  </si>
  <si>
    <t xml:space="preserve">5 . 4 </t>
  </si>
  <si>
    <t>14.1.104</t>
  </si>
  <si>
    <t>5 . 5 semitubular</t>
  </si>
  <si>
    <t>14.1.105</t>
  </si>
  <si>
    <t>6 . 3 Cab. chica/plana</t>
  </si>
  <si>
    <t>14.1.106</t>
  </si>
  <si>
    <t>6 . 4 Cab. chica/plana</t>
  </si>
  <si>
    <t>14.1.107</t>
  </si>
  <si>
    <t>6 . 5 semitubular</t>
  </si>
  <si>
    <t>14.1.108</t>
  </si>
  <si>
    <t>6 . 7 semitubular</t>
  </si>
  <si>
    <t>14.1.109</t>
  </si>
  <si>
    <t>7 . 3 semitubular</t>
  </si>
  <si>
    <t>14.1.110</t>
  </si>
  <si>
    <t>7 . 4 semitubular</t>
  </si>
  <si>
    <t>14.1.111</t>
  </si>
  <si>
    <t>7 . 5 semitubular</t>
  </si>
  <si>
    <t>14.1.112</t>
  </si>
  <si>
    <t>7 . 6 semitubular</t>
  </si>
  <si>
    <t>14.1.113</t>
  </si>
  <si>
    <t>7 . 7 (hierro)</t>
  </si>
  <si>
    <t>14.1.114</t>
  </si>
  <si>
    <t>7 . 8 (hierro)</t>
  </si>
  <si>
    <t>14.1.115</t>
  </si>
  <si>
    <t>7 . 10</t>
  </si>
  <si>
    <t>14.1.116</t>
  </si>
  <si>
    <t>8 . 6 semitubular</t>
  </si>
  <si>
    <t>14.1.117</t>
  </si>
  <si>
    <t>6 . 4</t>
  </si>
  <si>
    <t>14.1.118</t>
  </si>
  <si>
    <t>8 . 4 semitubular</t>
  </si>
  <si>
    <t>14.1.119</t>
  </si>
  <si>
    <t>8 . 3 semitubular</t>
  </si>
  <si>
    <t>14.1.120</t>
  </si>
  <si>
    <t>10 . 4 Cab. chica/plana</t>
  </si>
  <si>
    <t>14.1.121</t>
  </si>
  <si>
    <t>10 . 3 Cab. chica/plana</t>
  </si>
  <si>
    <t>14.1.122</t>
  </si>
  <si>
    <t>4 . 5</t>
  </si>
  <si>
    <t>14.1.123</t>
  </si>
  <si>
    <t>Kombi delgada/forro</t>
  </si>
  <si>
    <t>14.1.124</t>
  </si>
  <si>
    <t>10 . 5 Cab. chica/plana</t>
  </si>
  <si>
    <t>14.1.125</t>
  </si>
  <si>
    <t>6 . 3 semitubular</t>
  </si>
  <si>
    <t>14.1.126</t>
  </si>
  <si>
    <t xml:space="preserve">8 . 5 </t>
  </si>
  <si>
    <t>14.1.127</t>
  </si>
  <si>
    <t>8 . 7</t>
  </si>
  <si>
    <t>14.1.128</t>
  </si>
  <si>
    <t>6 . 6</t>
  </si>
  <si>
    <t>14.1.129</t>
  </si>
  <si>
    <t>5 . 6</t>
  </si>
  <si>
    <t>14.1.130</t>
  </si>
  <si>
    <t>S10 Ranger tubulado pasante</t>
  </si>
  <si>
    <t>14.1.131</t>
  </si>
  <si>
    <t>10 . 6 Cab. chica/plana</t>
  </si>
  <si>
    <t>14.1.132</t>
  </si>
  <si>
    <t>6  x 7 tubulado Scania</t>
  </si>
  <si>
    <t>14.1.133</t>
  </si>
  <si>
    <t xml:space="preserve">6 x  6 tubulado Scania </t>
  </si>
  <si>
    <t>14.1.134</t>
  </si>
  <si>
    <t>7 . 5 Cab. chica/plana</t>
  </si>
  <si>
    <t>14.1.135</t>
  </si>
  <si>
    <t>4 x  5 tubulado pasante</t>
  </si>
  <si>
    <t>14.1.136</t>
  </si>
  <si>
    <t>5 x  6 tubulado pasante</t>
  </si>
  <si>
    <t>14.1.137</t>
  </si>
  <si>
    <t>4 x  6 tubulado pasante</t>
  </si>
  <si>
    <t>14.1.138</t>
  </si>
  <si>
    <t>6 x  5 tubulado pasante</t>
  </si>
  <si>
    <t>14.1.139</t>
  </si>
  <si>
    <t>4 x 7 tubulado pasante</t>
  </si>
  <si>
    <t>14.1.140</t>
  </si>
  <si>
    <t>5 x 8 tubulado pasante</t>
  </si>
  <si>
    <t>14.1.141</t>
  </si>
  <si>
    <t xml:space="preserve">5 x 5 tubulado pasante </t>
  </si>
  <si>
    <t>14.1.142</t>
  </si>
  <si>
    <t>5 x 7 tubulado pasante</t>
  </si>
  <si>
    <t>14.1.143</t>
  </si>
  <si>
    <t>6 . 5 especial</t>
  </si>
  <si>
    <t>14.1.144</t>
  </si>
  <si>
    <t>7 . 3 especial</t>
  </si>
  <si>
    <t>14.1.145</t>
  </si>
  <si>
    <t>9 . 4 semitubular</t>
  </si>
  <si>
    <t>14.1.146</t>
  </si>
  <si>
    <t>10 . 4 semitubular</t>
  </si>
  <si>
    <t>14.1.147</t>
  </si>
  <si>
    <t xml:space="preserve">9 . 6 semitubular </t>
  </si>
  <si>
    <t>14.1.148</t>
  </si>
  <si>
    <t>Iveco Cavallino/Renault</t>
  </si>
  <si>
    <t>14.1.150</t>
  </si>
  <si>
    <t>10 . 6 semitubular</t>
  </si>
  <si>
    <t>14.1.152</t>
  </si>
  <si>
    <t>10 . 7 semitubular</t>
  </si>
  <si>
    <t>14.1.153</t>
  </si>
  <si>
    <t>10 . 3 semitubular</t>
  </si>
  <si>
    <t>14.1.154</t>
  </si>
  <si>
    <t>10 . 8 semitubular</t>
  </si>
  <si>
    <t>Remaches de aluminio para forros y cinta de freno</t>
  </si>
  <si>
    <t>15.3.100</t>
  </si>
  <si>
    <t>6 x 16 Cab. Ø11.0 plana</t>
  </si>
  <si>
    <t>15.3.101</t>
  </si>
  <si>
    <t>15.3.102</t>
  </si>
  <si>
    <t>3 . 5</t>
  </si>
  <si>
    <t>15.3.103</t>
  </si>
  <si>
    <t>15.3.104</t>
  </si>
  <si>
    <t>5 . 7</t>
  </si>
  <si>
    <t>15.3.105</t>
  </si>
  <si>
    <t>7 . 8</t>
  </si>
  <si>
    <t>15.3.106</t>
  </si>
  <si>
    <t>7 . 6</t>
  </si>
  <si>
    <t>15.3.107</t>
  </si>
  <si>
    <t>6 . 5</t>
  </si>
  <si>
    <t>15.3.108</t>
  </si>
  <si>
    <t>6 x 19 Cab. Ø11.0 plana</t>
  </si>
  <si>
    <t>15.3.109</t>
  </si>
  <si>
    <t>8 x 22 Cab. Ø13.0 plana</t>
  </si>
  <si>
    <t>15.3.110</t>
  </si>
  <si>
    <t>5 . 5</t>
  </si>
  <si>
    <t>15.3.111</t>
  </si>
  <si>
    <t>7 . 4</t>
  </si>
  <si>
    <t>15.3.112</t>
  </si>
  <si>
    <t>8 x 25 Cab. Ø13.0 plana</t>
  </si>
  <si>
    <t>15.3.113</t>
  </si>
  <si>
    <t>8 x 27 Cab. Ø15.0 plana</t>
  </si>
  <si>
    <t>15.3.114</t>
  </si>
  <si>
    <t>4 . 7</t>
  </si>
  <si>
    <t>15.3.115</t>
  </si>
  <si>
    <t>3 . 6</t>
  </si>
  <si>
    <t>15.3.116</t>
  </si>
  <si>
    <t>8 x 19 Cab. Ø13.0 plana</t>
  </si>
  <si>
    <t>15.3.117</t>
  </si>
  <si>
    <t>7 . 7</t>
  </si>
  <si>
    <t>15.3.118</t>
  </si>
  <si>
    <t>6 . 8</t>
  </si>
  <si>
    <t>15.3.119</t>
  </si>
  <si>
    <t>15.3.120</t>
  </si>
  <si>
    <t>8 x 19 Cab. Ø15.0 plana</t>
  </si>
  <si>
    <t>15.3.121</t>
  </si>
  <si>
    <t>6 x 25 Cab. Ø13.0 plana</t>
  </si>
  <si>
    <t>15.3.122</t>
  </si>
  <si>
    <t>15.3.123</t>
  </si>
  <si>
    <t>4 . 6</t>
  </si>
  <si>
    <t>15.3.124</t>
  </si>
  <si>
    <t>6 x 22 Cab. Ø11.0 plana</t>
  </si>
  <si>
    <t>15.3.125</t>
  </si>
  <si>
    <t>6 . 7</t>
  </si>
  <si>
    <t>15.3.126</t>
  </si>
  <si>
    <t>7 . 9</t>
  </si>
  <si>
    <t>15.3.127</t>
  </si>
  <si>
    <t>8 x 25 Cab. Ø15 plana</t>
  </si>
  <si>
    <t>15.3.128</t>
  </si>
  <si>
    <t>6 . 3</t>
  </si>
  <si>
    <t>15.3.129</t>
  </si>
  <si>
    <t>15.3.130</t>
  </si>
  <si>
    <t>8 x 32 Cab. Ø13.0 plana</t>
  </si>
  <si>
    <t>15.3.131</t>
  </si>
  <si>
    <t>8 x 22 Cab. Ø15.0 plana</t>
  </si>
  <si>
    <t>15.3.132</t>
  </si>
  <si>
    <t>6 x 25 Cab Ø11.0 fresada</t>
  </si>
  <si>
    <t>15.3.133</t>
  </si>
  <si>
    <t>8 x 25 Cab. Ø15.0 fresada</t>
  </si>
  <si>
    <t>15.3.134</t>
  </si>
  <si>
    <t>8 x 19 Cab. Ø15.0 fresada</t>
  </si>
  <si>
    <t>15.3.135</t>
  </si>
  <si>
    <t>8 x 22 Cab. Ø15.0 fresada</t>
  </si>
  <si>
    <t>15.3.136</t>
  </si>
  <si>
    <t>9 . 10</t>
  </si>
  <si>
    <t>15.3.137</t>
  </si>
  <si>
    <t>7 . 5</t>
  </si>
  <si>
    <t>15.3.138</t>
  </si>
  <si>
    <t>4 . 4</t>
  </si>
  <si>
    <t>15.3.139</t>
  </si>
  <si>
    <t>5 . 4</t>
  </si>
  <si>
    <t>15.3.140</t>
  </si>
  <si>
    <t>9 . 7</t>
  </si>
  <si>
    <t>15.3.141</t>
  </si>
  <si>
    <t>9 . 8</t>
  </si>
  <si>
    <t>15.3.144</t>
  </si>
  <si>
    <t>9 . 9</t>
  </si>
  <si>
    <t>15.3.147</t>
  </si>
  <si>
    <t>8 . 8</t>
  </si>
  <si>
    <t>15.3.149</t>
  </si>
  <si>
    <t>7 . 3</t>
  </si>
  <si>
    <t>15.3.150</t>
  </si>
  <si>
    <t>3 . 7</t>
  </si>
  <si>
    <t>15.3.153</t>
  </si>
  <si>
    <t>8 x 25 Cab. Ø13.0 fresada</t>
  </si>
  <si>
    <t>15.3.154</t>
  </si>
  <si>
    <t>6 x 16 Cab. Ø12.0 plana (macizo)</t>
  </si>
  <si>
    <t>15.3.155</t>
  </si>
  <si>
    <t xml:space="preserve">6 x 19 Cab. Ø12.0 plana </t>
  </si>
  <si>
    <t>15.3.156</t>
  </si>
  <si>
    <t>6 x 22 Cab. Ø12 plana (macizo)</t>
  </si>
  <si>
    <t>15.3.157</t>
  </si>
  <si>
    <t>8 x 22 Cab. Ø17 plana (macizo)</t>
  </si>
  <si>
    <t>15.3.158</t>
  </si>
  <si>
    <t>15.3.159</t>
  </si>
  <si>
    <t>6 x 13 Cab. Ø11 (macizo)</t>
  </si>
  <si>
    <t>Remaches volante bimaza              Material: SAE 1010</t>
  </si>
  <si>
    <t>16.1.001</t>
  </si>
  <si>
    <t>Chevrolet S10 Duramax</t>
  </si>
  <si>
    <t>16.1.002</t>
  </si>
  <si>
    <t>Volkswagen Amarok</t>
  </si>
  <si>
    <t>16.1.003</t>
  </si>
  <si>
    <t>Nissan/Ecosport/Vento</t>
  </si>
  <si>
    <t>16.1.004</t>
  </si>
  <si>
    <t>7 x 23</t>
  </si>
  <si>
    <t>16.1.005</t>
  </si>
  <si>
    <t>7 x 45</t>
  </si>
  <si>
    <t>16.1.006</t>
  </si>
  <si>
    <t>6 x 32</t>
  </si>
  <si>
    <t>16.1.007</t>
  </si>
  <si>
    <t>Chevrolet S10 MWM</t>
  </si>
  <si>
    <t>16.1.008</t>
  </si>
  <si>
    <t>9 x 19</t>
  </si>
  <si>
    <t>16.1.009</t>
  </si>
  <si>
    <t>10 x 25</t>
  </si>
  <si>
    <t>16.1.010</t>
  </si>
  <si>
    <t>6 x 29</t>
  </si>
  <si>
    <t>16.1.011</t>
  </si>
  <si>
    <t>7 x 35</t>
  </si>
  <si>
    <t>16.1.012</t>
  </si>
  <si>
    <t>7 x 14</t>
  </si>
  <si>
    <t>16.1.013</t>
  </si>
  <si>
    <t>7 x 28</t>
  </si>
  <si>
    <t>16.1.014</t>
  </si>
  <si>
    <t>Fiat Toro</t>
  </si>
  <si>
    <t>Separadores plásticos para discos de embragues</t>
  </si>
  <si>
    <t>18.01</t>
  </si>
  <si>
    <t>Fiat 147 encastre redondo</t>
  </si>
  <si>
    <t>18.02</t>
  </si>
  <si>
    <t>Fiat 147 R-G central</t>
  </si>
  <si>
    <t>18.03</t>
  </si>
  <si>
    <t>Fiat 147 encastre rectangular</t>
  </si>
  <si>
    <t>18.04</t>
  </si>
  <si>
    <t>Polo/M-Q lado inferior</t>
  </si>
  <si>
    <t>18.05</t>
  </si>
  <si>
    <t>Polo/M-Q lado superior</t>
  </si>
  <si>
    <t>18.08</t>
  </si>
  <si>
    <t>Peugeot 504/505 Valeo</t>
  </si>
  <si>
    <t>18.09</t>
  </si>
  <si>
    <t>Fiat Valeo</t>
  </si>
  <si>
    <t>18.10</t>
  </si>
  <si>
    <t>Fiat Regatta/Duna</t>
  </si>
  <si>
    <t>18.11</t>
  </si>
  <si>
    <t>Peugeot 504/505 central</t>
  </si>
  <si>
    <t>18.12</t>
  </si>
  <si>
    <t>Tipo universal (Ford Fiesta)</t>
  </si>
  <si>
    <t>18.14</t>
  </si>
  <si>
    <t>Peugeot 504/505 Duna Diesel superior</t>
  </si>
  <si>
    <t>18.15</t>
  </si>
  <si>
    <t>Fiat Siena</t>
  </si>
  <si>
    <t>18.16</t>
  </si>
  <si>
    <t>Fiat-Renault 19</t>
  </si>
  <si>
    <t>18.17</t>
  </si>
  <si>
    <t>Peugeot 405 Diesel Luk esp. 1.3</t>
  </si>
  <si>
    <t>18.18</t>
  </si>
  <si>
    <t>Fiat Ducato-Peugeot.Boxer</t>
  </si>
  <si>
    <t>18.19</t>
  </si>
  <si>
    <t>Fiesta CT200</t>
  </si>
  <si>
    <t>18.20</t>
  </si>
  <si>
    <t>Mercedes Benz Sprinter</t>
  </si>
  <si>
    <t>18.21</t>
  </si>
  <si>
    <t>Transit-S10</t>
  </si>
  <si>
    <t>18.22</t>
  </si>
  <si>
    <t>M-Q lado inferior</t>
  </si>
  <si>
    <t>18.23</t>
  </si>
  <si>
    <t>Renault modelo Wobron</t>
  </si>
  <si>
    <t>18.24</t>
  </si>
  <si>
    <t>S10-Sprinter-Transit</t>
  </si>
  <si>
    <t>18.25</t>
  </si>
  <si>
    <t>67,5 x 55 esp. 2mm</t>
  </si>
  <si>
    <t>18.26</t>
  </si>
  <si>
    <t>Esp. 1.8mm</t>
  </si>
  <si>
    <t>18.27</t>
  </si>
  <si>
    <t>53 x 41 esp 2.7mm</t>
  </si>
  <si>
    <t>18.28</t>
  </si>
  <si>
    <t>Arandela plástica 45 x 36 esp. 2.6mm</t>
  </si>
  <si>
    <t>18.29</t>
  </si>
  <si>
    <t>Peugeot Diesel Valeo superior</t>
  </si>
  <si>
    <t>18.30</t>
  </si>
  <si>
    <t>Renault 9 Valeo 6 resortes</t>
  </si>
  <si>
    <t>18.31</t>
  </si>
  <si>
    <t>Renault Express-Clio Diesel superior</t>
  </si>
  <si>
    <t>18.32</t>
  </si>
  <si>
    <t>Renault importado</t>
  </si>
  <si>
    <t>18.33</t>
  </si>
  <si>
    <t>Toyota-Transit Valeo</t>
  </si>
  <si>
    <t>18.34</t>
  </si>
  <si>
    <t>Peugeot 405 Wobron Sevel</t>
  </si>
  <si>
    <t>18.35</t>
  </si>
  <si>
    <t>Peugeot 405/205 Sachs</t>
  </si>
  <si>
    <t>18.36</t>
  </si>
  <si>
    <t>Sprinter-Transit-S10</t>
  </si>
  <si>
    <t>18.37</t>
  </si>
  <si>
    <t>Ondulado chapa Renault19-Ford Fiesta</t>
  </si>
  <si>
    <t>18.38</t>
  </si>
  <si>
    <t>Arandela competición esp. 0.5mm Ø67mm</t>
  </si>
  <si>
    <t>18.39</t>
  </si>
  <si>
    <t>Arandela F100/Econo esp. 1.0mm Ø 60mm</t>
  </si>
  <si>
    <t>18.40</t>
  </si>
  <si>
    <t>Arandela F100/Econo esp-0.5mm  Ø60mm</t>
  </si>
  <si>
    <t>18.41</t>
  </si>
  <si>
    <t>Arandela ondulada Corsa</t>
  </si>
  <si>
    <t>18.42</t>
  </si>
  <si>
    <t>Ranger 2.8 cónico conjunto 18.06</t>
  </si>
  <si>
    <t>18.43</t>
  </si>
  <si>
    <t>Renault 19 Diesel</t>
  </si>
  <si>
    <t>18.44</t>
  </si>
  <si>
    <t>Scania 16mm</t>
  </si>
  <si>
    <t>18.45</t>
  </si>
  <si>
    <t>Jumper-Boxer-Ducato</t>
  </si>
  <si>
    <t>18.46</t>
  </si>
  <si>
    <t>Corsa/Fiesta/Fire Sachs</t>
  </si>
  <si>
    <t>18.47</t>
  </si>
  <si>
    <t>Corsa 1.4/.1,6/VW Gol Sachs</t>
  </si>
  <si>
    <t>18.48</t>
  </si>
  <si>
    <t>Sprinter Sachs</t>
  </si>
  <si>
    <t>18.49</t>
  </si>
  <si>
    <t>Iveco delantero/trasero</t>
  </si>
  <si>
    <t>Remaches planos y conjunto preamortiguador</t>
  </si>
  <si>
    <t>19.01</t>
  </si>
  <si>
    <t>Fiat Uno/Transit modelo viejo</t>
  </si>
  <si>
    <t>19.02</t>
  </si>
  <si>
    <t>19.03</t>
  </si>
  <si>
    <t>Transit modelo nuevo</t>
  </si>
  <si>
    <t>19.04</t>
  </si>
  <si>
    <t>Chevrolet turbo Diesel</t>
  </si>
  <si>
    <t>19.05</t>
  </si>
  <si>
    <t>Preamortiguador Valeo x 100</t>
  </si>
  <si>
    <t>(100 U)</t>
  </si>
  <si>
    <t>19.06</t>
  </si>
  <si>
    <t>Toyota</t>
  </si>
  <si>
    <t>19.07</t>
  </si>
  <si>
    <t>Resorte para plástico 18.06</t>
  </si>
  <si>
    <t>(resorte)</t>
  </si>
  <si>
    <t>Contrapesos para balanceo          Material: SAE 1010 / 1212</t>
  </si>
  <si>
    <t>21.1.100</t>
  </si>
  <si>
    <t>BA-7 9grs</t>
  </si>
  <si>
    <t>21.1.101</t>
  </si>
  <si>
    <t>BA-7 6grs</t>
  </si>
  <si>
    <t>21.1.102</t>
  </si>
  <si>
    <t>Varios 8grs</t>
  </si>
  <si>
    <t>21.1.103</t>
  </si>
  <si>
    <t xml:space="preserve">Varios </t>
  </si>
  <si>
    <t>21.1.104</t>
  </si>
  <si>
    <t>Varios 9grs</t>
  </si>
  <si>
    <t>21.1.105</t>
  </si>
  <si>
    <t>Varios 7.8grs</t>
  </si>
  <si>
    <t>Remaches para pastilla sinterizada          Material: SAE 1010 / 1212</t>
  </si>
  <si>
    <t>22.1.100</t>
  </si>
  <si>
    <t xml:space="preserve">12.7 x 8.50 </t>
  </si>
  <si>
    <t>22.1.101</t>
  </si>
  <si>
    <t>9.3 x 8.50 para chapón</t>
  </si>
  <si>
    <t>22.1.102</t>
  </si>
  <si>
    <t>9.3 x 5.5 para lámina</t>
  </si>
  <si>
    <t>22.1.103</t>
  </si>
  <si>
    <t>9.3 x 10.2 para 2 pastillas</t>
  </si>
  <si>
    <t>22.1.104</t>
  </si>
  <si>
    <t>12.7 x 6.6 Cab. Ø15.9</t>
  </si>
  <si>
    <t>22.1.105</t>
  </si>
  <si>
    <t>9.3 x 16</t>
  </si>
  <si>
    <t>22.1.106</t>
  </si>
  <si>
    <t>12.7 x 13.0</t>
  </si>
  <si>
    <t>22.1.107</t>
  </si>
  <si>
    <t>12.7 x 8.5</t>
  </si>
  <si>
    <t>22.1.108</t>
  </si>
  <si>
    <t>12.7 x 9.5</t>
  </si>
  <si>
    <t>22.1.109</t>
  </si>
  <si>
    <t>E15059</t>
  </si>
  <si>
    <t>Chevrolet 9" - Opel STD</t>
  </si>
  <si>
    <t>E15169</t>
  </si>
  <si>
    <t>Ford Escort 200mm - 1°s/m</t>
  </si>
  <si>
    <t>E15152</t>
  </si>
  <si>
    <t>Nissan 230mm</t>
  </si>
  <si>
    <t>E15062</t>
  </si>
  <si>
    <t>Chevrolet 10" STD</t>
  </si>
  <si>
    <t>E15076</t>
  </si>
  <si>
    <t>Ford Escort 200mm STD</t>
  </si>
  <si>
    <t>E15154</t>
  </si>
  <si>
    <t>E15063</t>
  </si>
  <si>
    <t>Chevrolet 10" 1º s/m</t>
  </si>
  <si>
    <t>Ford F100 Econo 6 STD</t>
  </si>
  <si>
    <t>E15098</t>
  </si>
  <si>
    <t>Nissan Junior-Condor</t>
  </si>
  <si>
    <t>E15034</t>
  </si>
  <si>
    <t>Chevrolet 10" 2º s/m</t>
  </si>
  <si>
    <t>Ford F100 Econo 6 1° s/m</t>
  </si>
  <si>
    <t>E15103</t>
  </si>
  <si>
    <t>Nissan Pathfinder</t>
  </si>
  <si>
    <t>E15036</t>
  </si>
  <si>
    <t>Chevrolet 10" 3º s/m</t>
  </si>
  <si>
    <t>Ford F100 Econo 6 2° s/m</t>
  </si>
  <si>
    <t>E15194</t>
  </si>
  <si>
    <t>Peugeot 306-405-Partner Placa Luk</t>
  </si>
  <si>
    <t>E15035</t>
  </si>
  <si>
    <t>Chevrolet 10" 4º s/m</t>
  </si>
  <si>
    <t>Ford F100 Econo 6 3° s/m</t>
  </si>
  <si>
    <t>E15140</t>
  </si>
  <si>
    <t>Peugeot 307 / 308 Placa Luk</t>
  </si>
  <si>
    <t>E15097</t>
  </si>
  <si>
    <t>Chevrolet Corsa - Motor 1,1 - Motor 1,4</t>
  </si>
  <si>
    <t>Ford F100 Econo 6 4° s/m</t>
  </si>
  <si>
    <t>E15050</t>
  </si>
  <si>
    <t>Peugeot 205/206 180mm tipo Valeo</t>
  </si>
  <si>
    <t>E15123</t>
  </si>
  <si>
    <t>Chevrolet Corsa y varios Placa Sachs</t>
  </si>
  <si>
    <t>E15068</t>
  </si>
  <si>
    <t>Ford F100 motor Maxion-Ranger 2.5</t>
  </si>
  <si>
    <t>E15049</t>
  </si>
  <si>
    <t>Peugeot 206/306/307/Partner tipo Valeo</t>
  </si>
  <si>
    <t>E15128</t>
  </si>
  <si>
    <t>Chevrolet D20 - Silverado Placa LUK</t>
  </si>
  <si>
    <t>E15071</t>
  </si>
  <si>
    <t>Ford Fiesta 190mm</t>
  </si>
  <si>
    <t>E15146</t>
  </si>
  <si>
    <t>Peugeot 307 placa Valeo</t>
  </si>
  <si>
    <t>E15064</t>
  </si>
  <si>
    <t>Chevrolet D20 - Silverado STD - Placa Sachs</t>
  </si>
  <si>
    <t>E15129</t>
  </si>
  <si>
    <t>Ford K-Fiesta-Ecosport Placa Sachs 1°s/m</t>
  </si>
  <si>
    <t>E15121</t>
  </si>
  <si>
    <t>Peugeot 408 Placa Sachs</t>
  </si>
  <si>
    <t>E15065</t>
  </si>
  <si>
    <t>Chevrolet D20 - Silverado 1º s/m - Placa Sachs</t>
  </si>
  <si>
    <t>E15067</t>
  </si>
  <si>
    <t>Ford K-Fiesta-Ecosport Placa Sachs STD</t>
  </si>
  <si>
    <t>E15047</t>
  </si>
  <si>
    <t>Peugeot 504/505 tipo Valeo</t>
  </si>
  <si>
    <t>E15066</t>
  </si>
  <si>
    <t>Chevrolet D20 - Silverado 2º s/m - Placa Sachs</t>
  </si>
  <si>
    <t>E15188</t>
  </si>
  <si>
    <t>Ford- New Holland tractor</t>
  </si>
  <si>
    <t>E15048</t>
  </si>
  <si>
    <t>Peugeot 504-505 STD</t>
  </si>
  <si>
    <t>E15101</t>
  </si>
  <si>
    <t>Chevrolet Luv 215 mm</t>
  </si>
  <si>
    <t>E15158</t>
  </si>
  <si>
    <t>E15080</t>
  </si>
  <si>
    <t>Peugeot 504-505 1º s/m</t>
  </si>
  <si>
    <t>Chevrolet S-10 C/Remaches c/ MWM</t>
  </si>
  <si>
    <t>Ford Ranger c /remaches</t>
  </si>
  <si>
    <t>E15081</t>
  </si>
  <si>
    <t>Peugeot 504-505 2º s/m</t>
  </si>
  <si>
    <t>Chevrolet S-10 c/ Maxion</t>
  </si>
  <si>
    <t>Isuzu - Luv 225mm</t>
  </si>
  <si>
    <t>E15072</t>
  </si>
  <si>
    <t>Peugeot Boxer placa 235mm</t>
  </si>
  <si>
    <t>Citroen C4</t>
  </si>
  <si>
    <t>Isuzu - Luv 230mm</t>
  </si>
  <si>
    <t>E15120</t>
  </si>
  <si>
    <t>Peugeot Hdi volante 13mm</t>
  </si>
  <si>
    <t>E15100</t>
  </si>
  <si>
    <t>Deutz 4140 - 4150 - etc.</t>
  </si>
  <si>
    <t>Isuzu - Luv 215mm</t>
  </si>
  <si>
    <t>E15106</t>
  </si>
  <si>
    <t>Renault Diesel Clio-Kangoo 200mm tipo Valeo</t>
  </si>
  <si>
    <t>E15040</t>
  </si>
  <si>
    <t>Fiat 1,3 Diesel</t>
  </si>
  <si>
    <t>E15102</t>
  </si>
  <si>
    <t>Isuzu - Luv 240mm</t>
  </si>
  <si>
    <t>Renault motor 1,9 Diesel</t>
  </si>
  <si>
    <t>Fiat 1,7 Diesel</t>
  </si>
  <si>
    <t>E15170</t>
  </si>
  <si>
    <t>Iveco Cursor 400 mm de tirar Valeo-Sachs</t>
  </si>
  <si>
    <t>E15069</t>
  </si>
  <si>
    <t>Renault R12 -R11 -R9 180mm</t>
  </si>
  <si>
    <t>Fiat 1,7 Diesel 200mm Duna/Siena tipo Valeo</t>
  </si>
  <si>
    <t>E15051</t>
  </si>
  <si>
    <t>Iveco Eurocargo 14" 1° s/m</t>
  </si>
  <si>
    <t>Renault R18 -R21 -215mm</t>
  </si>
  <si>
    <t>Fiat 128 / Duna 180mm tipo Valeo</t>
  </si>
  <si>
    <t>E15052</t>
  </si>
  <si>
    <t>Iveco Eurocargo 14" 2° s/m</t>
  </si>
  <si>
    <t>Renault R18 -Traffic tipo Valeo 215mm</t>
  </si>
  <si>
    <t>E15105</t>
  </si>
  <si>
    <t>Fiat 147 / Duna Diesel 170mm tipo Valeo</t>
  </si>
  <si>
    <t>E15134</t>
  </si>
  <si>
    <t>Iveco Eurocargo 14" de tirar</t>
  </si>
  <si>
    <t>Renault R6 -R12 160 /170 /180mm</t>
  </si>
  <si>
    <t>Fiat Duna / Uno 190mm nafta Placa Valeo</t>
  </si>
  <si>
    <t>E15032</t>
  </si>
  <si>
    <t>Iveco Eurocargo 14" STD</t>
  </si>
  <si>
    <t>Renault R9 -R11 -R19 -Clio-Kangoo Valeo 200mm</t>
  </si>
  <si>
    <t>Fiat 128 / 147 / Duna 180mm</t>
  </si>
  <si>
    <t>E15075</t>
  </si>
  <si>
    <t>Iveco Placa Sachs 420mm</t>
  </si>
  <si>
    <t>Renault R9 -R11 -R19 motor 1,6 - 1° s/m</t>
  </si>
  <si>
    <t>E15074</t>
  </si>
  <si>
    <t>Fiat 680-780 placa Valeo</t>
  </si>
  <si>
    <t>E15092</t>
  </si>
  <si>
    <t>Iveco Stralis 430mm de tirar Sachs</t>
  </si>
  <si>
    <t>Renault R9 -R11 -R19 motor 1,6 STD</t>
  </si>
  <si>
    <t>E15073</t>
  </si>
  <si>
    <t>Fiat 980-1180 placa Valeo</t>
  </si>
  <si>
    <t>JD 3140 / 3550</t>
  </si>
  <si>
    <t>Renault R9 -R12 -Clio-tipo Valeo 180mm</t>
  </si>
  <si>
    <t>E15148</t>
  </si>
  <si>
    <t>Fiat Doblo placa AP</t>
  </si>
  <si>
    <t>John Deere</t>
  </si>
  <si>
    <t>E15090</t>
  </si>
  <si>
    <t>Scania 112 1º Serie</t>
  </si>
  <si>
    <t>Fiat Ducato placa 235mm</t>
  </si>
  <si>
    <t>Massey Ferguson 650 - 660 - etc.</t>
  </si>
  <si>
    <t>E15091</t>
  </si>
  <si>
    <t>Scania 112 2º Serie</t>
  </si>
  <si>
    <t>Fiat Duna - Uno Placa Sachs 1° s/m</t>
  </si>
  <si>
    <t>E15053</t>
  </si>
  <si>
    <t>M. Benz 1114 - Placa Luk STD</t>
  </si>
  <si>
    <t>Scania 113/114 430mm de tirar Sachs</t>
  </si>
  <si>
    <t>Fiat Duna - Uno Placa Sachs STD</t>
  </si>
  <si>
    <t>E15085</t>
  </si>
  <si>
    <t>M. Benz 1114 - Placa Luk 1º s/m</t>
  </si>
  <si>
    <t>E15093</t>
  </si>
  <si>
    <t>Scania 113/114 430mm de tirar Valeo</t>
  </si>
  <si>
    <t>Fiat Duna-Uno 190 mm Placa Sachs</t>
  </si>
  <si>
    <t>E15086</t>
  </si>
  <si>
    <t>M. Benz 1114 - Placa Luk 2º s/m</t>
  </si>
  <si>
    <t>E15096</t>
  </si>
  <si>
    <t>Toyota 225mm placa japonesa 9 remaches</t>
  </si>
  <si>
    <t>E15190</t>
  </si>
  <si>
    <t>Fiat Palio-Siena Motor Fire 180 mm</t>
  </si>
  <si>
    <t>E15037</t>
  </si>
  <si>
    <t>M. Benz 1114 placa Sachs/IAR STD</t>
  </si>
  <si>
    <t>E15130</t>
  </si>
  <si>
    <t>Toyota 225mm placa Luk</t>
  </si>
  <si>
    <t>E15057</t>
  </si>
  <si>
    <t>Fiat Palio-Siena Motor Fire STD</t>
  </si>
  <si>
    <t>E15039</t>
  </si>
  <si>
    <t>M. Benz 1114 placa Sachs/IAR 1º s/m</t>
  </si>
  <si>
    <t>E15094</t>
  </si>
  <si>
    <t>Toyota 230mm</t>
  </si>
  <si>
    <t>E15058</t>
  </si>
  <si>
    <t>Fiat Palio-Siena Motor Fire 1º s/m</t>
  </si>
  <si>
    <t>E15038</t>
  </si>
  <si>
    <t>M. Benz 1114 placa Sachs/IAR 2º s/m</t>
  </si>
  <si>
    <t>Fiat Tractor</t>
  </si>
  <si>
    <t>E15156</t>
  </si>
  <si>
    <t>M. Benz 1517 placa LUK</t>
  </si>
  <si>
    <t>E15131</t>
  </si>
  <si>
    <t>Toyota 236mm placa Luk</t>
  </si>
  <si>
    <t>E15180</t>
  </si>
  <si>
    <t>Fiat Uno - Palio - Siena placa Wobron</t>
  </si>
  <si>
    <t>E15029</t>
  </si>
  <si>
    <t>M. Benz 1517 placa Sachs/IAR STD</t>
  </si>
  <si>
    <t>E15138</t>
  </si>
  <si>
    <t>Toyota 260mm placa Luk</t>
  </si>
  <si>
    <t>Ford 11" F100/350 placa Luk STD</t>
  </si>
  <si>
    <t>E15082</t>
  </si>
  <si>
    <t>M. Benz 1517 placa Sachs/IAR 1° s/m</t>
  </si>
  <si>
    <t>E15095</t>
  </si>
  <si>
    <t>Toyota Hice</t>
  </si>
  <si>
    <t>Ford 11" F100/350 placa Luk 1° s/m</t>
  </si>
  <si>
    <t>E15083</t>
  </si>
  <si>
    <t>M. Benz 1517 placa Sachs/IAR 2° s/m</t>
  </si>
  <si>
    <t>E15189</t>
  </si>
  <si>
    <t>Toyota Hilux mod. 2016</t>
  </si>
  <si>
    <t>Ford 11" F100/350 placa Luk 2° s/m</t>
  </si>
  <si>
    <t>E15139</t>
  </si>
  <si>
    <t>M. Benz 1620 330mm Redondo</t>
  </si>
  <si>
    <t>E15030</t>
  </si>
  <si>
    <t>Valmet 330mm</t>
  </si>
  <si>
    <t>Ford 11" F100/350 placa Sachs/IAR STD</t>
  </si>
  <si>
    <t>E15151</t>
  </si>
  <si>
    <t>M. Benz 1620 330mm Redondo s/m</t>
  </si>
  <si>
    <t>Valmet 340mm</t>
  </si>
  <si>
    <t>Ford 11" F100/350 placa Sachs/IAR 1° s/m</t>
  </si>
  <si>
    <t>M. Benz 1620 350-362-395mm STD</t>
  </si>
  <si>
    <t>VW Amarok</t>
  </si>
  <si>
    <t>Ford 11" F100/350 placa Sachs/IAR 2° s/m</t>
  </si>
  <si>
    <t>M. Benz 1620 350-362-395mm 1º s/m</t>
  </si>
  <si>
    <t>E15135</t>
  </si>
  <si>
    <t>VW Camion placa Eaton 365mm</t>
  </si>
  <si>
    <t>E15153</t>
  </si>
  <si>
    <t>Ford 11" F100/350 placa Wobron</t>
  </si>
  <si>
    <t>M. Benz 1620 350-362-395mm 2º s/m</t>
  </si>
  <si>
    <t>E15197</t>
  </si>
  <si>
    <t>VW Camion placa Eaton 365mm rebajada</t>
  </si>
  <si>
    <t>E15087</t>
  </si>
  <si>
    <t>Ford 7000 13" STD</t>
  </si>
  <si>
    <t>E15046</t>
  </si>
  <si>
    <t>M. Benz 362 / 395mm tipo Valeo</t>
  </si>
  <si>
    <t>E15056</t>
  </si>
  <si>
    <t>VW Camion placa LUK / IAR 365mm</t>
  </si>
  <si>
    <t>E15088</t>
  </si>
  <si>
    <t>Ford 7000 13" 1º s/m</t>
  </si>
  <si>
    <t>E15186</t>
  </si>
  <si>
    <t>M. Benz 365 / 395mm placa LUK</t>
  </si>
  <si>
    <t>VW Camion placa Sachs 14"</t>
  </si>
  <si>
    <t>E15089</t>
  </si>
  <si>
    <t>Ford 7000 13" 2º s/m</t>
  </si>
  <si>
    <t>E15132</t>
  </si>
  <si>
    <t>M. Benz 380mm STD</t>
  </si>
  <si>
    <t>VW Gacel-Gol-Saveiro 200mm STD</t>
  </si>
  <si>
    <t>Ford Cargo 365mm - Placa Eaton</t>
  </si>
  <si>
    <t>M. Benz 430mm de tirar Sachs</t>
  </si>
  <si>
    <t>VW Gacel-Gol-Saveiro 200mm-1°s/m</t>
  </si>
  <si>
    <t>Ford Cargo 365mm - Placa Eaton rebajada</t>
  </si>
  <si>
    <t>M. Benz 430mm de tirar Valeo</t>
  </si>
  <si>
    <t>VW Gacel-Gol-Saveiro placa Valeo</t>
  </si>
  <si>
    <t>Ford Cargo 365mm - Placa Luk/IAR</t>
  </si>
  <si>
    <t>M. Benz 1633 420mm</t>
  </si>
  <si>
    <t>E15211</t>
  </si>
  <si>
    <t>VW Gol Trend 1.4 Placa Sachs</t>
  </si>
  <si>
    <t>E15149</t>
  </si>
  <si>
    <t>Ford Cargo 380mm - Placa Sachs chapa</t>
  </si>
  <si>
    <t>MB 1114 placa Wobron</t>
  </si>
  <si>
    <t>E15079</t>
  </si>
  <si>
    <t>VW Gol-Saveiro Placa Luk</t>
  </si>
  <si>
    <t>E15150</t>
  </si>
  <si>
    <t>Ford Cargo 395mm - Placa Eaton Fundicion</t>
  </si>
  <si>
    <t>E15137</t>
  </si>
  <si>
    <t>Mitsubishi L-200</t>
  </si>
  <si>
    <t>VW Gol-Saveiro Placa Sachs 1°s/m</t>
  </si>
  <si>
    <t>Ford Cargo Sachs 14"</t>
  </si>
  <si>
    <t>VW Gol-Saveiro Placa Sachs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</si>
</sst>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.00_ ;_ * \-#,##0.00_ ;_ * &quot;-&quot;??_ ;_ @_ "/>
    <numFmt numFmtId="165" formatCode="0.000"/>
    <numFmt numFmtId="166" formatCode="&quot;$&quot;\ #,##0.00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482F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5AB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064FA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3">
    <xf numFmtId="0" fontId="0" fillId="0" borderId="0" xfId="0"/>
    <xf numFmtId="165" fontId="0" fillId="0" borderId="0" xfId="0" applyNumberFormat="1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0" xfId="0" applyFont="1"/>
    <xf numFmtId="166" fontId="2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6" fontId="0" fillId="0" borderId="0" xfId="1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166" fontId="0" fillId="0" borderId="1" xfId="1" applyNumberFormat="1" applyFont="1" applyBorder="1" applyAlignment="1">
      <alignment horizontal="center" vertical="center" wrapText="1"/>
    </xf>
    <xf numFmtId="166" fontId="0" fillId="7" borderId="1" xfId="1" applyNumberFormat="1" applyFont="1" applyFill="1" applyBorder="1" applyAlignment="1">
      <alignment horizontal="center" vertical="center" wrapText="1"/>
    </xf>
    <xf numFmtId="0" fontId="0" fillId="0" borderId="8" xfId="0" applyBorder="1"/>
    <xf numFmtId="166" fontId="0" fillId="0" borderId="8" xfId="1" applyNumberFormat="1" applyFont="1" applyBorder="1" applyAlignment="1">
      <alignment horizontal="center" vertical="center" wrapText="1"/>
    </xf>
    <xf numFmtId="0" fontId="0" fillId="9" borderId="1" xfId="0" applyFill="1" applyBorder="1"/>
    <xf numFmtId="166" fontId="0" fillId="3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7" borderId="1" xfId="0" applyFill="1" applyBorder="1"/>
    <xf numFmtId="0" fontId="0" fillId="11" borderId="1" xfId="0" applyFill="1" applyBorder="1" applyAlignment="1">
      <alignment horizontal="center"/>
    </xf>
    <xf numFmtId="0" fontId="0" fillId="10" borderId="11" xfId="0" applyFill="1" applyBorder="1" applyAlignment="1">
      <alignment horizontal="center" vertical="center"/>
    </xf>
    <xf numFmtId="166" fontId="0" fillId="11" borderId="11" xfId="1" applyNumberFormat="1" applyFont="1" applyFill="1" applyBorder="1" applyAlignment="1">
      <alignment horizontal="center" vertical="center" wrapText="1"/>
    </xf>
    <xf numFmtId="166" fontId="0" fillId="0" borderId="11" xfId="1" applyNumberFormat="1" applyFont="1" applyBorder="1" applyAlignment="1">
      <alignment horizontal="center" vertical="center" wrapText="1"/>
    </xf>
    <xf numFmtId="166" fontId="0" fillId="0" borderId="18" xfId="1" applyNumberFormat="1" applyFont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0" fillId="0" borderId="0" xfId="0" applyBorder="1"/>
    <xf numFmtId="0" fontId="0" fillId="0" borderId="25" xfId="0" applyBorder="1"/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3" fillId="0" borderId="0" xfId="0" applyFont="1" applyAlignment="1">
      <alignment horizontal="left"/>
    </xf>
    <xf numFmtId="0" fontId="5" fillId="8" borderId="16" xfId="0" applyFont="1" applyFill="1" applyBorder="1" applyAlignment="1">
      <alignment vertical="center"/>
    </xf>
    <xf numFmtId="0" fontId="5" fillId="8" borderId="10" xfId="0" applyFont="1" applyFill="1" applyBorder="1" applyAlignment="1">
      <alignment vertical="center"/>
    </xf>
    <xf numFmtId="0" fontId="0" fillId="9" borderId="11" xfId="0" applyFill="1" applyBorder="1"/>
    <xf numFmtId="0" fontId="0" fillId="0" borderId="11" xfId="0" applyBorder="1"/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/>
    </xf>
    <xf numFmtId="166" fontId="6" fillId="4" borderId="1" xfId="1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6" fontId="6" fillId="4" borderId="6" xfId="0" applyNumberFormat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166" fontId="6" fillId="7" borderId="1" xfId="1" applyNumberFormat="1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6" fontId="6" fillId="7" borderId="6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center" vertical="center" wrapText="1"/>
    </xf>
    <xf numFmtId="166" fontId="6" fillId="9" borderId="6" xfId="0" applyNumberFormat="1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165" fontId="6" fillId="11" borderId="1" xfId="0" applyNumberFormat="1" applyFont="1" applyFill="1" applyBorder="1"/>
    <xf numFmtId="165" fontId="6" fillId="11" borderId="1" xfId="0" applyNumberFormat="1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165" fontId="6" fillId="11" borderId="1" xfId="0" applyNumberFormat="1" applyFont="1" applyFill="1" applyBorder="1" applyAlignment="1">
      <alignment wrapText="1"/>
    </xf>
    <xf numFmtId="165" fontId="6" fillId="11" borderId="1" xfId="0" applyNumberFormat="1" applyFont="1" applyFill="1" applyBorder="1" applyAlignment="1">
      <alignment horizontal="center" vertical="center" wrapText="1"/>
    </xf>
    <xf numFmtId="165" fontId="6" fillId="11" borderId="1" xfId="0" applyNumberFormat="1" applyFont="1" applyFill="1" applyBorder="1" applyAlignment="1">
      <alignment horizontal="center" wrapText="1"/>
    </xf>
    <xf numFmtId="166" fontId="6" fillId="11" borderId="6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166" fontId="6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wrapText="1"/>
    </xf>
    <xf numFmtId="165" fontId="6" fillId="7" borderId="1" xfId="0" applyNumberFormat="1" applyFont="1" applyFill="1" applyBorder="1" applyAlignment="1">
      <alignment vertical="center" wrapText="1"/>
    </xf>
    <xf numFmtId="165" fontId="6" fillId="9" borderId="1" xfId="0" applyNumberFormat="1" applyFont="1" applyFill="1" applyBorder="1" applyAlignment="1">
      <alignment vertical="center" wrapText="1"/>
    </xf>
    <xf numFmtId="166" fontId="6" fillId="3" borderId="1" xfId="1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3" fontId="6" fillId="9" borderId="5" xfId="0" applyNumberFormat="1" applyFont="1" applyFill="1" applyBorder="1" applyAlignment="1">
      <alignment horizontal="center" vertical="center"/>
    </xf>
    <xf numFmtId="165" fontId="6" fillId="9" borderId="6" xfId="0" applyNumberFormat="1" applyFont="1" applyFill="1" applyBorder="1" applyAlignment="1">
      <alignment horizontal="center" vertical="center" wrapText="1"/>
    </xf>
    <xf numFmtId="165" fontId="6" fillId="11" borderId="1" xfId="0" applyNumberFormat="1" applyFont="1" applyFill="1" applyBorder="1" applyAlignment="1">
      <alignment vertical="center" wrapText="1"/>
    </xf>
    <xf numFmtId="0" fontId="6" fillId="11" borderId="6" xfId="0" applyFont="1" applyFill="1" applyBorder="1" applyAlignment="1">
      <alignment horizontal="center" vertical="center" wrapText="1"/>
    </xf>
    <xf numFmtId="166" fontId="0" fillId="0" borderId="0" xfId="1" applyNumberFormat="1" applyFont="1" applyBorder="1" applyAlignment="1">
      <alignment horizontal="center" vertical="center" wrapText="1"/>
    </xf>
    <xf numFmtId="43" fontId="7" fillId="0" borderId="26" xfId="0" applyNumberFormat="1" applyFont="1" applyFill="1" applyBorder="1" applyAlignment="1">
      <alignment horizontal="center" vertical="center"/>
    </xf>
    <xf numFmtId="165" fontId="8" fillId="0" borderId="0" xfId="0" applyNumberFormat="1" applyFont="1"/>
    <xf numFmtId="0" fontId="0" fillId="0" borderId="27" xfId="0" applyBorder="1"/>
    <xf numFmtId="0" fontId="6" fillId="14" borderId="1" xfId="0" applyFont="1" applyFill="1" applyBorder="1" applyAlignment="1">
      <alignment horizontal="center" vertical="center"/>
    </xf>
    <xf numFmtId="165" fontId="6" fillId="14" borderId="1" xfId="0" applyNumberFormat="1" applyFont="1" applyFill="1" applyBorder="1"/>
    <xf numFmtId="165" fontId="6" fillId="14" borderId="1" xfId="0" applyNumberFormat="1" applyFont="1" applyFill="1" applyBorder="1" applyAlignment="1">
      <alignment horizontal="center" vertical="center"/>
    </xf>
    <xf numFmtId="43" fontId="6" fillId="14" borderId="1" xfId="0" applyNumberFormat="1" applyFont="1" applyFill="1" applyBorder="1" applyAlignment="1">
      <alignment horizontal="center"/>
    </xf>
    <xf numFmtId="43" fontId="7" fillId="14" borderId="1" xfId="0" applyNumberFormat="1" applyFont="1" applyFill="1" applyBorder="1" applyAlignment="1">
      <alignment horizontal="center"/>
    </xf>
    <xf numFmtId="44" fontId="6" fillId="14" borderId="6" xfId="0" applyNumberFormat="1" applyFont="1" applyFill="1" applyBorder="1" applyAlignment="1">
      <alignment horizontal="center" shrinkToFit="1"/>
    </xf>
    <xf numFmtId="16" fontId="6" fillId="14" borderId="1" xfId="0" applyNumberFormat="1" applyFont="1" applyFill="1" applyBorder="1" applyAlignment="1">
      <alignment horizontal="center" vertical="center"/>
    </xf>
    <xf numFmtId="43" fontId="6" fillId="14" borderId="1" xfId="0" applyNumberFormat="1" applyFont="1" applyFill="1" applyBorder="1"/>
    <xf numFmtId="43" fontId="7" fillId="14" borderId="1" xfId="0" applyNumberFormat="1" applyFont="1" applyFill="1" applyBorder="1"/>
    <xf numFmtId="0" fontId="6" fillId="14" borderId="1" xfId="0" applyNumberFormat="1" applyFont="1" applyFill="1" applyBorder="1" applyAlignment="1">
      <alignment horizontal="center" vertical="center"/>
    </xf>
    <xf numFmtId="0" fontId="6" fillId="14" borderId="8" xfId="0" applyNumberFormat="1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165" fontId="6" fillId="14" borderId="8" xfId="0" applyNumberFormat="1" applyFont="1" applyFill="1" applyBorder="1"/>
    <xf numFmtId="165" fontId="6" fillId="14" borderId="8" xfId="0" applyNumberFormat="1" applyFont="1" applyFill="1" applyBorder="1" applyAlignment="1">
      <alignment horizontal="center" vertical="center"/>
    </xf>
    <xf numFmtId="43" fontId="6" fillId="14" borderId="8" xfId="0" applyNumberFormat="1" applyFont="1" applyFill="1" applyBorder="1"/>
    <xf numFmtId="43" fontId="7" fillId="14" borderId="8" xfId="0" applyNumberFormat="1" applyFont="1" applyFill="1" applyBorder="1"/>
    <xf numFmtId="44" fontId="6" fillId="14" borderId="9" xfId="0" applyNumberFormat="1" applyFont="1" applyFill="1" applyBorder="1" applyAlignment="1">
      <alignment horizontal="center" shrinkToFit="1"/>
    </xf>
    <xf numFmtId="166" fontId="6" fillId="14" borderId="6" xfId="0" applyNumberFormat="1" applyFont="1" applyFill="1" applyBorder="1" applyAlignment="1">
      <alignment horizontal="center" vertical="center" shrinkToFit="1"/>
    </xf>
    <xf numFmtId="166" fontId="6" fillId="14" borderId="6" xfId="0" applyNumberFormat="1" applyFont="1" applyFill="1" applyBorder="1" applyAlignment="1">
      <alignment horizontal="center" vertical="center"/>
    </xf>
    <xf numFmtId="166" fontId="6" fillId="14" borderId="9" xfId="0" applyNumberFormat="1" applyFont="1" applyFill="1" applyBorder="1" applyAlignment="1">
      <alignment horizontal="center" vertical="center"/>
    </xf>
    <xf numFmtId="43" fontId="6" fillId="14" borderId="1" xfId="0" applyNumberFormat="1" applyFont="1" applyFill="1" applyBorder="1" applyAlignment="1">
      <alignment horizontal="center" vertical="center"/>
    </xf>
    <xf numFmtId="43" fontId="7" fillId="14" borderId="1" xfId="0" applyNumberFormat="1" applyFont="1" applyFill="1" applyBorder="1" applyAlignment="1">
      <alignment horizontal="center" vertical="center"/>
    </xf>
    <xf numFmtId="4" fontId="6" fillId="14" borderId="1" xfId="0" applyNumberFormat="1" applyFont="1" applyFill="1" applyBorder="1" applyAlignment="1">
      <alignment horizontal="center" vertical="center"/>
    </xf>
    <xf numFmtId="0" fontId="6" fillId="14" borderId="1" xfId="0" applyFont="1" applyFill="1" applyBorder="1"/>
    <xf numFmtId="0" fontId="3" fillId="14" borderId="8" xfId="0" applyFont="1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165" fontId="0" fillId="14" borderId="8" xfId="0" applyNumberFormat="1" applyFill="1" applyBorder="1"/>
    <xf numFmtId="165" fontId="0" fillId="14" borderId="8" xfId="0" applyNumberFormat="1" applyFill="1" applyBorder="1" applyAlignment="1">
      <alignment horizontal="center" vertical="center"/>
    </xf>
    <xf numFmtId="4" fontId="6" fillId="14" borderId="8" xfId="0" applyNumberFormat="1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0" fillId="14" borderId="8" xfId="0" applyFill="1" applyBorder="1" applyAlignment="1">
      <alignment horizontal="center"/>
    </xf>
    <xf numFmtId="8" fontId="0" fillId="14" borderId="9" xfId="0" applyNumberFormat="1" applyFill="1" applyBorder="1" applyAlignment="1">
      <alignment horizontal="center"/>
    </xf>
    <xf numFmtId="165" fontId="6" fillId="14" borderId="8" xfId="0" applyNumberFormat="1" applyFont="1" applyFill="1" applyBorder="1" applyAlignment="1">
      <alignment horizontal="right"/>
    </xf>
    <xf numFmtId="43" fontId="7" fillId="14" borderId="8" xfId="0" applyNumberFormat="1" applyFont="1" applyFill="1" applyBorder="1" applyAlignment="1">
      <alignment horizontal="right"/>
    </xf>
    <xf numFmtId="43" fontId="6" fillId="0" borderId="25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165" fontId="6" fillId="9" borderId="3" xfId="0" applyNumberFormat="1" applyFont="1" applyFill="1" applyBorder="1" applyAlignment="1">
      <alignment wrapText="1"/>
    </xf>
    <xf numFmtId="165" fontId="6" fillId="9" borderId="3" xfId="0" applyNumberFormat="1" applyFont="1" applyFill="1" applyBorder="1" applyAlignment="1">
      <alignment horizontal="center" vertical="center" wrapText="1"/>
    </xf>
    <xf numFmtId="165" fontId="6" fillId="9" borderId="3" xfId="0" applyNumberFormat="1" applyFont="1" applyFill="1" applyBorder="1" applyAlignment="1">
      <alignment horizontal="center" wrapText="1"/>
    </xf>
    <xf numFmtId="0" fontId="6" fillId="9" borderId="3" xfId="0" applyFont="1" applyFill="1" applyBorder="1" applyAlignment="1">
      <alignment wrapText="1"/>
    </xf>
    <xf numFmtId="166" fontId="6" fillId="9" borderId="3" xfId="1" applyNumberFormat="1" applyFont="1" applyFill="1" applyBorder="1" applyAlignment="1">
      <alignment horizontal="center" vertical="center" wrapText="1"/>
    </xf>
    <xf numFmtId="166" fontId="6" fillId="9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0" fillId="0" borderId="0" xfId="0" applyNumberFormat="1" applyFill="1" applyBorder="1"/>
    <xf numFmtId="165" fontId="0" fillId="0" borderId="0" xfId="0" applyNumberForma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right"/>
    </xf>
    <xf numFmtId="43" fontId="7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8" fontId="0" fillId="0" borderId="0" xfId="0" applyNumberForma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/>
    </xf>
    <xf numFmtId="165" fontId="6" fillId="15" borderId="1" xfId="0" applyNumberFormat="1" applyFont="1" applyFill="1" applyBorder="1"/>
    <xf numFmtId="165" fontId="6" fillId="15" borderId="1" xfId="0" applyNumberFormat="1" applyFont="1" applyFill="1" applyBorder="1" applyAlignment="1">
      <alignment horizontal="center" vertical="center"/>
    </xf>
    <xf numFmtId="43" fontId="6" fillId="15" borderId="1" xfId="0" applyNumberFormat="1" applyFont="1" applyFill="1" applyBorder="1"/>
    <xf numFmtId="43" fontId="7" fillId="15" borderId="1" xfId="0" applyNumberFormat="1" applyFont="1" applyFill="1" applyBorder="1"/>
    <xf numFmtId="166" fontId="6" fillId="15" borderId="1" xfId="1" applyNumberFormat="1" applyFont="1" applyFill="1" applyBorder="1" applyAlignment="1">
      <alignment horizontal="center" vertical="center" wrapText="1"/>
    </xf>
    <xf numFmtId="166" fontId="6" fillId="15" borderId="6" xfId="0" applyNumberFormat="1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center" vertical="center"/>
    </xf>
    <xf numFmtId="165" fontId="6" fillId="15" borderId="8" xfId="0" applyNumberFormat="1" applyFont="1" applyFill="1" applyBorder="1"/>
    <xf numFmtId="165" fontId="6" fillId="15" borderId="8" xfId="0" applyNumberFormat="1" applyFont="1" applyFill="1" applyBorder="1" applyAlignment="1">
      <alignment horizontal="center" vertical="center"/>
    </xf>
    <xf numFmtId="43" fontId="7" fillId="15" borderId="8" xfId="0" applyNumberFormat="1" applyFont="1" applyFill="1" applyBorder="1"/>
    <xf numFmtId="0" fontId="6" fillId="15" borderId="8" xfId="0" applyFont="1" applyFill="1" applyBorder="1"/>
    <xf numFmtId="43" fontId="6" fillId="15" borderId="8" xfId="0" applyNumberFormat="1" applyFont="1" applyFill="1" applyBorder="1"/>
    <xf numFmtId="166" fontId="6" fillId="15" borderId="8" xfId="1" applyNumberFormat="1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/>
    </xf>
    <xf numFmtId="0" fontId="6" fillId="16" borderId="1" xfId="0" applyFont="1" applyFill="1" applyBorder="1"/>
    <xf numFmtId="43" fontId="6" fillId="16" borderId="1" xfId="0" applyNumberFormat="1" applyFont="1" applyFill="1" applyBorder="1" applyAlignment="1">
      <alignment horizontal="center" vertical="center"/>
    </xf>
    <xf numFmtId="43" fontId="6" fillId="16" borderId="1" xfId="0" applyNumberFormat="1" applyFont="1" applyFill="1" applyBorder="1" applyAlignment="1">
      <alignment vertical="center"/>
    </xf>
    <xf numFmtId="43" fontId="6" fillId="16" borderId="1" xfId="0" applyNumberFormat="1" applyFont="1" applyFill="1" applyBorder="1" applyAlignment="1">
      <alignment horizontal="center"/>
    </xf>
    <xf numFmtId="43" fontId="7" fillId="16" borderId="1" xfId="0" applyNumberFormat="1" applyFont="1" applyFill="1" applyBorder="1"/>
    <xf numFmtId="43" fontId="6" fillId="16" borderId="1" xfId="0" applyNumberFormat="1" applyFont="1" applyFill="1" applyBorder="1"/>
    <xf numFmtId="166" fontId="7" fillId="16" borderId="1" xfId="0" applyNumberFormat="1" applyFont="1" applyFill="1" applyBorder="1" applyAlignment="1">
      <alignment horizontal="center" vertical="center" wrapText="1"/>
    </xf>
    <xf numFmtId="166" fontId="6" fillId="16" borderId="6" xfId="0" applyNumberFormat="1" applyFont="1" applyFill="1" applyBorder="1" applyAlignment="1">
      <alignment horizontal="center" vertical="center"/>
    </xf>
    <xf numFmtId="166" fontId="6" fillId="16" borderId="1" xfId="0" applyNumberFormat="1" applyFont="1" applyFill="1" applyBorder="1" applyAlignment="1">
      <alignment horizontal="center" vertical="center" wrapText="1"/>
    </xf>
    <xf numFmtId="165" fontId="6" fillId="16" borderId="1" xfId="0" applyNumberFormat="1" applyFont="1" applyFill="1" applyBorder="1"/>
    <xf numFmtId="165" fontId="6" fillId="16" borderId="1" xfId="0" applyNumberFormat="1" applyFont="1" applyFill="1" applyBorder="1" applyAlignment="1">
      <alignment horizontal="center" vertical="center"/>
    </xf>
    <xf numFmtId="166" fontId="6" fillId="16" borderId="1" xfId="1" applyNumberFormat="1" applyFont="1" applyFill="1" applyBorder="1" applyAlignment="1">
      <alignment horizontal="center" vertical="center" wrapText="1"/>
    </xf>
    <xf numFmtId="166" fontId="6" fillId="16" borderId="6" xfId="0" applyNumberFormat="1" applyFont="1" applyFill="1" applyBorder="1" applyAlignment="1">
      <alignment horizontal="center" vertical="center" shrinkToFit="1"/>
    </xf>
    <xf numFmtId="0" fontId="6" fillId="16" borderId="8" xfId="0" applyFont="1" applyFill="1" applyBorder="1" applyAlignment="1">
      <alignment horizontal="center" vertical="center"/>
    </xf>
    <xf numFmtId="165" fontId="6" fillId="16" borderId="8" xfId="0" applyNumberFormat="1" applyFont="1" applyFill="1" applyBorder="1"/>
    <xf numFmtId="165" fontId="6" fillId="16" borderId="8" xfId="0" applyNumberFormat="1" applyFont="1" applyFill="1" applyBorder="1" applyAlignment="1">
      <alignment horizontal="center" vertical="center"/>
    </xf>
    <xf numFmtId="43" fontId="6" fillId="16" borderId="8" xfId="0" applyNumberFormat="1" applyFont="1" applyFill="1" applyBorder="1"/>
    <xf numFmtId="43" fontId="7" fillId="16" borderId="8" xfId="0" applyNumberFormat="1" applyFont="1" applyFill="1" applyBorder="1"/>
    <xf numFmtId="0" fontId="6" fillId="16" borderId="8" xfId="0" applyFont="1" applyFill="1" applyBorder="1"/>
    <xf numFmtId="166" fontId="6" fillId="16" borderId="8" xfId="1" applyNumberFormat="1" applyFont="1" applyFill="1" applyBorder="1" applyAlignment="1">
      <alignment horizontal="center" vertical="center" wrapText="1"/>
    </xf>
    <xf numFmtId="166" fontId="6" fillId="16" borderId="9" xfId="0" applyNumberFormat="1" applyFont="1" applyFill="1" applyBorder="1" applyAlignment="1">
      <alignment horizontal="center" vertical="center"/>
    </xf>
    <xf numFmtId="43" fontId="7" fillId="16" borderId="1" xfId="0" applyNumberFormat="1" applyFont="1" applyFill="1" applyBorder="1" applyAlignment="1">
      <alignment horizontal="center" vertical="center"/>
    </xf>
    <xf numFmtId="0" fontId="6" fillId="16" borderId="8" xfId="0" applyFont="1" applyFill="1" applyBorder="1" applyAlignment="1">
      <alignment horizontal="center"/>
    </xf>
    <xf numFmtId="165" fontId="6" fillId="16" borderId="1" xfId="0" applyNumberFormat="1" applyFont="1" applyFill="1" applyBorder="1" applyAlignment="1">
      <alignment vertical="center"/>
    </xf>
    <xf numFmtId="43" fontId="7" fillId="16" borderId="1" xfId="0" applyNumberFormat="1" applyFont="1" applyFill="1" applyBorder="1" applyAlignment="1">
      <alignment vertical="center"/>
    </xf>
    <xf numFmtId="166" fontId="6" fillId="16" borderId="1" xfId="0" applyNumberFormat="1" applyFont="1" applyFill="1" applyBorder="1" applyAlignment="1">
      <alignment horizontal="center" vertical="center"/>
    </xf>
    <xf numFmtId="44" fontId="6" fillId="16" borderId="6" xfId="0" applyNumberFormat="1" applyFont="1" applyFill="1" applyBorder="1"/>
    <xf numFmtId="44" fontId="6" fillId="16" borderId="6" xfId="0" applyNumberFormat="1" applyFont="1" applyFill="1" applyBorder="1" applyAlignment="1">
      <alignment shrinkToFit="1"/>
    </xf>
    <xf numFmtId="43" fontId="6" fillId="16" borderId="1" xfId="0" applyNumberFormat="1" applyFont="1" applyFill="1" applyBorder="1" applyAlignment="1">
      <alignment horizontal="right" vertical="center"/>
    </xf>
    <xf numFmtId="44" fontId="6" fillId="16" borderId="6" xfId="0" applyNumberFormat="1" applyFont="1" applyFill="1" applyBorder="1" applyAlignment="1">
      <alignment horizontal="center" vertical="center"/>
    </xf>
    <xf numFmtId="44" fontId="6" fillId="16" borderId="9" xfId="0" applyNumberFormat="1" applyFont="1" applyFill="1" applyBorder="1"/>
    <xf numFmtId="165" fontId="6" fillId="16" borderId="8" xfId="0" applyNumberFormat="1" applyFont="1" applyFill="1" applyBorder="1" applyAlignment="1">
      <alignment vertical="center"/>
    </xf>
    <xf numFmtId="43" fontId="7" fillId="16" borderId="8" xfId="0" applyNumberFormat="1" applyFont="1" applyFill="1" applyBorder="1" applyAlignment="1">
      <alignment vertical="center"/>
    </xf>
    <xf numFmtId="43" fontId="6" fillId="16" borderId="8" xfId="0" applyNumberFormat="1" applyFont="1" applyFill="1" applyBorder="1" applyAlignment="1">
      <alignment vertical="center"/>
    </xf>
    <xf numFmtId="166" fontId="6" fillId="16" borderId="8" xfId="0" applyNumberFormat="1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165" fontId="6" fillId="13" borderId="1" xfId="0" applyNumberFormat="1" applyFont="1" applyFill="1" applyBorder="1"/>
    <xf numFmtId="165" fontId="6" fillId="13" borderId="1" xfId="0" applyNumberFormat="1" applyFont="1" applyFill="1" applyBorder="1" applyAlignment="1">
      <alignment horizontal="center" vertical="center"/>
    </xf>
    <xf numFmtId="43" fontId="6" fillId="13" borderId="1" xfId="0" applyNumberFormat="1" applyFont="1" applyFill="1" applyBorder="1"/>
    <xf numFmtId="43" fontId="7" fillId="13" borderId="1" xfId="0" applyNumberFormat="1" applyFont="1" applyFill="1" applyBorder="1"/>
    <xf numFmtId="166" fontId="6" fillId="13" borderId="6" xfId="0" applyNumberFormat="1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/>
    </xf>
    <xf numFmtId="165" fontId="6" fillId="13" borderId="8" xfId="0" applyNumberFormat="1" applyFont="1" applyFill="1" applyBorder="1"/>
    <xf numFmtId="165" fontId="6" fillId="13" borderId="8" xfId="0" applyNumberFormat="1" applyFont="1" applyFill="1" applyBorder="1" applyAlignment="1">
      <alignment horizontal="center" vertical="center"/>
    </xf>
    <xf numFmtId="43" fontId="6" fillId="13" borderId="8" xfId="0" applyNumberFormat="1" applyFont="1" applyFill="1" applyBorder="1"/>
    <xf numFmtId="43" fontId="7" fillId="13" borderId="8" xfId="0" applyNumberFormat="1" applyFont="1" applyFill="1" applyBorder="1"/>
    <xf numFmtId="166" fontId="6" fillId="13" borderId="9" xfId="0" applyNumberFormat="1" applyFont="1" applyFill="1" applyBorder="1" applyAlignment="1">
      <alignment horizontal="center" vertical="center"/>
    </xf>
    <xf numFmtId="0" fontId="6" fillId="13" borderId="1" xfId="0" applyNumberFormat="1" applyFont="1" applyFill="1" applyBorder="1" applyAlignment="1">
      <alignment horizontal="center" vertical="center"/>
    </xf>
    <xf numFmtId="44" fontId="6" fillId="13" borderId="6" xfId="0" applyNumberFormat="1" applyFont="1" applyFill="1" applyBorder="1" applyAlignment="1">
      <alignment shrinkToFit="1"/>
    </xf>
    <xf numFmtId="44" fontId="6" fillId="13" borderId="9" xfId="0" applyNumberFormat="1" applyFont="1" applyFill="1" applyBorder="1" applyAlignment="1">
      <alignment shrinkToFit="1"/>
    </xf>
    <xf numFmtId="165" fontId="6" fillId="13" borderId="1" xfId="0" applyNumberFormat="1" applyFont="1" applyFill="1" applyBorder="1" applyAlignment="1">
      <alignment vertical="center"/>
    </xf>
    <xf numFmtId="43" fontId="6" fillId="13" borderId="1" xfId="0" applyNumberFormat="1" applyFont="1" applyFill="1" applyBorder="1" applyAlignment="1">
      <alignment horizontal="center" vertical="center"/>
    </xf>
    <xf numFmtId="43" fontId="7" fillId="13" borderId="1" xfId="0" applyNumberFormat="1" applyFont="1" applyFill="1" applyBorder="1" applyAlignment="1">
      <alignment horizontal="center" vertical="center"/>
    </xf>
    <xf numFmtId="43" fontId="6" fillId="13" borderId="1" xfId="0" applyNumberFormat="1" applyFont="1" applyFill="1" applyBorder="1" applyAlignment="1">
      <alignment vertical="center"/>
    </xf>
    <xf numFmtId="43" fontId="7" fillId="13" borderId="1" xfId="0" applyNumberFormat="1" applyFont="1" applyFill="1" applyBorder="1" applyAlignment="1">
      <alignment vertical="center"/>
    </xf>
    <xf numFmtId="166" fontId="6" fillId="13" borderId="6" xfId="0" applyNumberFormat="1" applyFont="1" applyFill="1" applyBorder="1" applyAlignment="1">
      <alignment horizontal="center" vertical="center" shrinkToFit="1"/>
    </xf>
    <xf numFmtId="165" fontId="6" fillId="13" borderId="8" xfId="0" applyNumberFormat="1" applyFont="1" applyFill="1" applyBorder="1" applyAlignment="1">
      <alignment vertical="center"/>
    </xf>
    <xf numFmtId="43" fontId="6" fillId="13" borderId="8" xfId="0" applyNumberFormat="1" applyFont="1" applyFill="1" applyBorder="1" applyAlignment="1">
      <alignment vertical="center"/>
    </xf>
    <xf numFmtId="166" fontId="6" fillId="13" borderId="9" xfId="0" applyNumberFormat="1" applyFont="1" applyFill="1" applyBorder="1" applyAlignment="1">
      <alignment horizontal="center" vertical="center" shrinkToFit="1"/>
    </xf>
    <xf numFmtId="166" fontId="6" fillId="13" borderId="1" xfId="1" applyNumberFormat="1" applyFont="1" applyFill="1" applyBorder="1" applyAlignment="1">
      <alignment horizontal="center" vertical="center" wrapText="1"/>
    </xf>
    <xf numFmtId="8" fontId="6" fillId="13" borderId="6" xfId="0" applyNumberFormat="1" applyFont="1" applyFill="1" applyBorder="1" applyAlignment="1">
      <alignment horizontal="center" vertical="center" shrinkToFit="1"/>
    </xf>
    <xf numFmtId="43" fontId="6" fillId="13" borderId="1" xfId="0" applyNumberFormat="1" applyFont="1" applyFill="1" applyBorder="1" applyAlignment="1">
      <alignment horizontal="right" vertical="center"/>
    </xf>
    <xf numFmtId="0" fontId="0" fillId="13" borderId="1" xfId="0" applyFill="1" applyBorder="1"/>
    <xf numFmtId="166" fontId="0" fillId="13" borderId="1" xfId="1" applyNumberFormat="1" applyFont="1" applyFill="1" applyBorder="1" applyAlignment="1">
      <alignment horizontal="center" vertical="center" wrapText="1"/>
    </xf>
    <xf numFmtId="43" fontId="7" fillId="13" borderId="8" xfId="0" applyNumberFormat="1" applyFont="1" applyFill="1" applyBorder="1" applyAlignment="1">
      <alignment horizontal="center" vertical="center"/>
    </xf>
    <xf numFmtId="0" fontId="0" fillId="13" borderId="8" xfId="0" applyFill="1" applyBorder="1"/>
    <xf numFmtId="43" fontId="6" fillId="13" borderId="8" xfId="0" applyNumberFormat="1" applyFont="1" applyFill="1" applyBorder="1" applyAlignment="1">
      <alignment horizontal="center" vertical="center"/>
    </xf>
    <xf numFmtId="166" fontId="0" fillId="13" borderId="8" xfId="1" applyNumberFormat="1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/>
    </xf>
    <xf numFmtId="165" fontId="6" fillId="17" borderId="1" xfId="0" applyNumberFormat="1" applyFont="1" applyFill="1" applyBorder="1"/>
    <xf numFmtId="165" fontId="6" fillId="17" borderId="1" xfId="0" applyNumberFormat="1" applyFont="1" applyFill="1" applyBorder="1" applyAlignment="1">
      <alignment horizontal="center" vertical="center"/>
    </xf>
    <xf numFmtId="43" fontId="6" fillId="17" borderId="1" xfId="0" applyNumberFormat="1" applyFont="1" applyFill="1" applyBorder="1"/>
    <xf numFmtId="43" fontId="7" fillId="17" borderId="1" xfId="0" applyNumberFormat="1" applyFont="1" applyFill="1" applyBorder="1"/>
    <xf numFmtId="166" fontId="6" fillId="17" borderId="6" xfId="0" applyNumberFormat="1" applyFont="1" applyFill="1" applyBorder="1" applyAlignment="1">
      <alignment horizontal="center" vertical="center"/>
    </xf>
    <xf numFmtId="8" fontId="6" fillId="17" borderId="1" xfId="0" applyNumberFormat="1" applyFont="1" applyFill="1" applyBorder="1" applyAlignment="1">
      <alignment horizontal="center"/>
    </xf>
    <xf numFmtId="0" fontId="6" fillId="17" borderId="8" xfId="0" applyFont="1" applyFill="1" applyBorder="1" applyAlignment="1">
      <alignment horizontal="center" vertical="center"/>
    </xf>
    <xf numFmtId="165" fontId="6" fillId="17" borderId="8" xfId="0" applyNumberFormat="1" applyFont="1" applyFill="1" applyBorder="1"/>
    <xf numFmtId="165" fontId="6" fillId="17" borderId="8" xfId="0" applyNumberFormat="1" applyFont="1" applyFill="1" applyBorder="1" applyAlignment="1">
      <alignment horizontal="center" vertical="center"/>
    </xf>
    <xf numFmtId="43" fontId="6" fillId="17" borderId="8" xfId="0" applyNumberFormat="1" applyFont="1" applyFill="1" applyBorder="1"/>
    <xf numFmtId="43" fontId="7" fillId="17" borderId="8" xfId="0" applyNumberFormat="1" applyFont="1" applyFill="1" applyBorder="1"/>
    <xf numFmtId="166" fontId="6" fillId="17" borderId="8" xfId="0" applyNumberFormat="1" applyFont="1" applyFill="1" applyBorder="1" applyAlignment="1">
      <alignment horizontal="center" vertical="center"/>
    </xf>
    <xf numFmtId="43" fontId="6" fillId="17" borderId="1" xfId="0" applyNumberFormat="1" applyFont="1" applyFill="1" applyBorder="1" applyAlignment="1">
      <alignment horizontal="center" vertical="center"/>
    </xf>
    <xf numFmtId="43" fontId="7" fillId="17" borderId="1" xfId="0" applyNumberFormat="1" applyFont="1" applyFill="1" applyBorder="1" applyAlignment="1">
      <alignment horizontal="center" vertical="center"/>
    </xf>
    <xf numFmtId="166" fontId="6" fillId="17" borderId="1" xfId="1" applyNumberFormat="1" applyFont="1" applyFill="1" applyBorder="1" applyAlignment="1">
      <alignment horizontal="center" vertical="center" wrapText="1"/>
    </xf>
    <xf numFmtId="43" fontId="7" fillId="17" borderId="8" xfId="0" applyNumberFormat="1" applyFont="1" applyFill="1" applyBorder="1" applyAlignment="1">
      <alignment horizontal="center" vertical="center"/>
    </xf>
    <xf numFmtId="0" fontId="6" fillId="17" borderId="8" xfId="0" applyFont="1" applyFill="1" applyBorder="1"/>
    <xf numFmtId="43" fontId="6" fillId="17" borderId="8" xfId="0" applyNumberFormat="1" applyFont="1" applyFill="1" applyBorder="1" applyAlignment="1">
      <alignment horizontal="center" vertical="center"/>
    </xf>
    <xf numFmtId="166" fontId="6" fillId="17" borderId="8" xfId="1" applyNumberFormat="1" applyFont="1" applyFill="1" applyBorder="1" applyAlignment="1">
      <alignment horizontal="center" vertical="center" wrapText="1"/>
    </xf>
    <xf numFmtId="166" fontId="6" fillId="17" borderId="9" xfId="0" applyNumberFormat="1" applyFont="1" applyFill="1" applyBorder="1" applyAlignment="1">
      <alignment horizontal="center" vertical="center"/>
    </xf>
    <xf numFmtId="166" fontId="6" fillId="15" borderId="9" xfId="0" applyNumberFormat="1" applyFont="1" applyFill="1" applyBorder="1" applyAlignment="1">
      <alignment horizontal="center" vertical="center"/>
    </xf>
    <xf numFmtId="166" fontId="6" fillId="17" borderId="6" xfId="0" applyNumberFormat="1" applyFont="1" applyFill="1" applyBorder="1" applyAlignment="1">
      <alignment horizontal="center" vertical="center" shrinkToFit="1"/>
    </xf>
    <xf numFmtId="166" fontId="6" fillId="17" borderId="9" xfId="0" applyNumberFormat="1" applyFont="1" applyFill="1" applyBorder="1" applyAlignment="1">
      <alignment horizontal="center" vertical="center" shrinkToFit="1"/>
    </xf>
    <xf numFmtId="166" fontId="6" fillId="15" borderId="6" xfId="0" applyNumberFormat="1" applyFont="1" applyFill="1" applyBorder="1" applyAlignment="1">
      <alignment horizontal="center" vertical="center" shrinkToFit="1"/>
    </xf>
    <xf numFmtId="0" fontId="6" fillId="15" borderId="13" xfId="0" applyFont="1" applyFill="1" applyBorder="1" applyAlignment="1">
      <alignment horizontal="center" vertical="center"/>
    </xf>
    <xf numFmtId="165" fontId="6" fillId="15" borderId="13" xfId="0" applyNumberFormat="1" applyFont="1" applyFill="1" applyBorder="1"/>
    <xf numFmtId="165" fontId="6" fillId="15" borderId="13" xfId="0" applyNumberFormat="1" applyFont="1" applyFill="1" applyBorder="1" applyAlignment="1">
      <alignment horizontal="center" vertical="center"/>
    </xf>
    <xf numFmtId="43" fontId="6" fillId="15" borderId="13" xfId="0" applyNumberFormat="1" applyFont="1" applyFill="1" applyBorder="1"/>
    <xf numFmtId="43" fontId="7" fillId="15" borderId="13" xfId="0" applyNumberFormat="1" applyFont="1" applyFill="1" applyBorder="1"/>
    <xf numFmtId="166" fontId="6" fillId="15" borderId="13" xfId="1" applyNumberFormat="1" applyFont="1" applyFill="1" applyBorder="1" applyAlignment="1">
      <alignment horizontal="center" vertical="center" wrapText="1"/>
    </xf>
    <xf numFmtId="166" fontId="6" fillId="15" borderId="14" xfId="0" applyNumberFormat="1" applyFont="1" applyFill="1" applyBorder="1" applyAlignment="1">
      <alignment horizontal="center" vertical="center" shrinkToFit="1"/>
    </xf>
    <xf numFmtId="166" fontId="6" fillId="15" borderId="9" xfId="0" applyNumberFormat="1" applyFont="1" applyFill="1" applyBorder="1" applyAlignment="1">
      <alignment horizontal="center" vertical="center" shrinkToFit="1"/>
    </xf>
    <xf numFmtId="0" fontId="6" fillId="14" borderId="1" xfId="0" applyFont="1" applyFill="1" applyBorder="1" applyAlignment="1">
      <alignment horizontal="center" vertical="center" shrinkToFit="1"/>
    </xf>
    <xf numFmtId="0" fontId="6" fillId="11" borderId="5" xfId="0" applyFont="1" applyFill="1" applyBorder="1" applyAlignment="1">
      <alignment horizontal="center" vertical="center" shrinkToFit="1"/>
    </xf>
    <xf numFmtId="0" fontId="9" fillId="11" borderId="5" xfId="0" applyFont="1" applyFill="1" applyBorder="1" applyAlignment="1">
      <alignment horizontal="center" vertical="center" shrinkToFit="1"/>
    </xf>
    <xf numFmtId="0" fontId="9" fillId="14" borderId="1" xfId="0" applyFont="1" applyFill="1" applyBorder="1" applyAlignment="1">
      <alignment horizontal="center" vertical="center" shrinkToFit="1"/>
    </xf>
    <xf numFmtId="0" fontId="6" fillId="11" borderId="7" xfId="0" applyFont="1" applyFill="1" applyBorder="1" applyAlignment="1">
      <alignment horizontal="center" vertical="center" shrinkToFit="1"/>
    </xf>
    <xf numFmtId="0" fontId="6" fillId="14" borderId="8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165" fontId="6" fillId="16" borderId="1" xfId="0" applyNumberFormat="1" applyFont="1" applyFill="1" applyBorder="1" applyAlignment="1">
      <alignment horizontal="center" vertical="center" wrapText="1"/>
    </xf>
    <xf numFmtId="43" fontId="6" fillId="16" borderId="1" xfId="0" applyNumberFormat="1" applyFont="1" applyFill="1" applyBorder="1" applyAlignment="1">
      <alignment horizontal="center" vertical="center" wrapText="1"/>
    </xf>
    <xf numFmtId="44" fontId="6" fillId="16" borderId="6" xfId="0" applyNumberFormat="1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43" fontId="6" fillId="16" borderId="8" xfId="0" applyNumberFormat="1" applyFont="1" applyFill="1" applyBorder="1" applyAlignment="1">
      <alignment horizontal="center" vertical="center" wrapText="1"/>
    </xf>
    <xf numFmtId="44" fontId="6" fillId="16" borderId="9" xfId="0" applyNumberFormat="1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shrinkToFit="1"/>
    </xf>
    <xf numFmtId="0" fontId="6" fillId="14" borderId="27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vertical="center"/>
    </xf>
    <xf numFmtId="0" fontId="6" fillId="12" borderId="1" xfId="0" applyFont="1" applyFill="1" applyBorder="1" applyAlignment="1">
      <alignment horizontal="center" vertical="center"/>
    </xf>
    <xf numFmtId="165" fontId="6" fillId="12" borderId="1" xfId="0" applyNumberFormat="1" applyFont="1" applyFill="1" applyBorder="1"/>
    <xf numFmtId="165" fontId="6" fillId="12" borderId="1" xfId="0" applyNumberFormat="1" applyFont="1" applyFill="1" applyBorder="1" applyAlignment="1">
      <alignment horizontal="center" vertical="center"/>
    </xf>
    <xf numFmtId="43" fontId="7" fillId="15" borderId="1" xfId="0" applyNumberFormat="1" applyFont="1" applyFill="1" applyBorder="1" applyAlignment="1">
      <alignment horizontal="right"/>
    </xf>
    <xf numFmtId="43" fontId="7" fillId="15" borderId="8" xfId="0" applyNumberFormat="1" applyFont="1" applyFill="1" applyBorder="1" applyAlignment="1">
      <alignment horizontal="right"/>
    </xf>
    <xf numFmtId="0" fontId="4" fillId="12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 wrapText="1"/>
    </xf>
    <xf numFmtId="0" fontId="6" fillId="13" borderId="1" xfId="0" applyFont="1" applyFill="1" applyBorder="1"/>
    <xf numFmtId="0" fontId="6" fillId="13" borderId="8" xfId="0" applyFont="1" applyFill="1" applyBorder="1"/>
    <xf numFmtId="0" fontId="0" fillId="0" borderId="30" xfId="0" applyBorder="1"/>
    <xf numFmtId="0" fontId="0" fillId="0" borderId="18" xfId="0" applyBorder="1"/>
    <xf numFmtId="0" fontId="5" fillId="17" borderId="1" xfId="0" applyFont="1" applyFill="1" applyBorder="1" applyAlignment="1">
      <alignment vertical="center"/>
    </xf>
    <xf numFmtId="8" fontId="6" fillId="17" borderId="6" xfId="0" applyNumberFormat="1" applyFont="1" applyFill="1" applyBorder="1" applyAlignment="1">
      <alignment horizontal="center" vertical="center" shrinkToFit="1"/>
    </xf>
    <xf numFmtId="6" fontId="6" fillId="13" borderId="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165" fontId="6" fillId="12" borderId="1" xfId="0" applyNumberFormat="1" applyFont="1" applyFill="1" applyBorder="1" applyAlignment="1">
      <alignment horizontal="center"/>
    </xf>
    <xf numFmtId="166" fontId="6" fillId="12" borderId="6" xfId="0" applyNumberFormat="1" applyFont="1" applyFill="1" applyBorder="1" applyAlignment="1">
      <alignment horizontal="center" vertical="center"/>
    </xf>
    <xf numFmtId="0" fontId="5" fillId="19" borderId="15" xfId="0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center" vertical="center"/>
    </xf>
    <xf numFmtId="0" fontId="5" fillId="19" borderId="17" xfId="0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/>
    </xf>
    <xf numFmtId="0" fontId="5" fillId="19" borderId="2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29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 shrinkToFit="1"/>
    </xf>
    <xf numFmtId="0" fontId="4" fillId="6" borderId="16" xfId="0" applyFont="1" applyFill="1" applyBorder="1" applyAlignment="1">
      <alignment horizontal="center" vertical="center" shrinkToFit="1"/>
    </xf>
    <xf numFmtId="0" fontId="4" fillId="6" borderId="21" xfId="0" applyFont="1" applyFill="1" applyBorder="1" applyAlignment="1">
      <alignment horizontal="center" vertical="center" shrinkToFit="1"/>
    </xf>
    <xf numFmtId="0" fontId="4" fillId="6" borderId="19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horizontal="center" vertical="center" shrinkToFit="1"/>
    </xf>
    <xf numFmtId="0" fontId="4" fillId="6" borderId="22" xfId="0" applyFont="1" applyFill="1" applyBorder="1" applyAlignment="1">
      <alignment horizontal="center" vertical="center" shrinkToFit="1"/>
    </xf>
    <xf numFmtId="0" fontId="4" fillId="8" borderId="15" xfId="0" applyFont="1" applyFill="1" applyBorder="1" applyAlignment="1">
      <alignment horizontal="center" vertical="center" shrinkToFit="1"/>
    </xf>
    <xf numFmtId="0" fontId="4" fillId="8" borderId="16" xfId="0" applyFont="1" applyFill="1" applyBorder="1" applyAlignment="1">
      <alignment horizontal="center" vertical="center" shrinkToFit="1"/>
    </xf>
    <xf numFmtId="0" fontId="4" fillId="8" borderId="17" xfId="0" applyFont="1" applyFill="1" applyBorder="1" applyAlignment="1">
      <alignment horizontal="center" vertical="center" shrinkToFit="1"/>
    </xf>
    <xf numFmtId="0" fontId="4" fillId="8" borderId="19" xfId="0" applyFont="1" applyFill="1" applyBorder="1" applyAlignment="1">
      <alignment horizontal="center" vertical="center" shrinkToFit="1"/>
    </xf>
    <xf numFmtId="0" fontId="4" fillId="8" borderId="10" xfId="0" applyFont="1" applyFill="1" applyBorder="1" applyAlignment="1">
      <alignment horizontal="center" vertical="center" shrinkToFit="1"/>
    </xf>
    <xf numFmtId="0" fontId="4" fillId="8" borderId="20" xfId="0" applyFont="1" applyFill="1" applyBorder="1" applyAlignment="1">
      <alignment horizontal="center" vertical="center" shrinkToFit="1"/>
    </xf>
    <xf numFmtId="0" fontId="4" fillId="10" borderId="15" xfId="0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A064FA"/>
      <color rgb="FFD5ABFF"/>
      <color rgb="FFB48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123826</xdr:colOff>
      <xdr:row>12</xdr:row>
      <xdr:rowOff>9525</xdr:rowOff>
    </xdr:from>
    <xdr:to>
      <xdr:col>19</xdr:col>
      <xdr:colOff>752476</xdr:colOff>
      <xdr:row>15</xdr:row>
      <xdr:rowOff>152400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5C8485F-913B-490A-8FB3-2001AB6638BF}"/>
            </a:ext>
          </a:extLst>
        </xdr:cNvPr>
        <xdr:cNvSpPr/>
      </xdr:nvSpPr>
      <xdr:spPr>
        <a:xfrm>
          <a:off x="10887076" y="1962150"/>
          <a:ext cx="628650" cy="628650"/>
        </a:xfrm>
        <a:prstGeom prst="rect">
          <a:avLst/>
        </a:prstGeom>
        <a:solidFill>
          <a:schemeClr val="accent6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0</xdr:colOff>
      <xdr:row>12</xdr:row>
      <xdr:rowOff>123825</xdr:rowOff>
    </xdr:from>
    <xdr:to>
      <xdr:col>20</xdr:col>
      <xdr:colOff>628650</xdr:colOff>
      <xdr:row>15</xdr:row>
      <xdr:rowOff>28575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6F60AD1-D9F8-4936-A384-2ACDECF909E0}"/>
            </a:ext>
          </a:extLst>
        </xdr:cNvPr>
        <xdr:cNvSpPr/>
      </xdr:nvSpPr>
      <xdr:spPr>
        <a:xfrm>
          <a:off x="11525250" y="2066925"/>
          <a:ext cx="628650" cy="390525"/>
        </a:xfrm>
        <a:prstGeom prst="rect">
          <a:avLst/>
        </a:prstGeom>
        <a:solidFill>
          <a:schemeClr val="accent6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676274</xdr:colOff>
      <xdr:row>13</xdr:row>
      <xdr:rowOff>9524</xdr:rowOff>
    </xdr:from>
    <xdr:to>
      <xdr:col>18</xdr:col>
      <xdr:colOff>274274</xdr:colOff>
      <xdr:row>15</xdr:row>
      <xdr:rowOff>45674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A96A643-E917-4752-A556-FC88C73FD121}"/>
            </a:ext>
          </a:extLst>
        </xdr:cNvPr>
        <xdr:cNvSpPr txBox="1"/>
      </xdr:nvSpPr>
      <xdr:spPr>
        <a:xfrm>
          <a:off x="9915524" y="2114549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18</xdr:col>
      <xdr:colOff>381000</xdr:colOff>
      <xdr:row>10</xdr:row>
      <xdr:rowOff>76200</xdr:rowOff>
    </xdr:from>
    <xdr:to>
      <xdr:col>18</xdr:col>
      <xdr:colOff>390525</xdr:colOff>
      <xdr:row>17</xdr:row>
      <xdr:rowOff>47625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A527D191-7AD5-416F-AAB5-EC66332AC19D}"/>
            </a:ext>
          </a:extLst>
        </xdr:cNvPr>
        <xdr:cNvCxnSpPr/>
      </xdr:nvCxnSpPr>
      <xdr:spPr>
        <a:xfrm>
          <a:off x="10382250" y="1695450"/>
          <a:ext cx="9525" cy="11049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228600</xdr:colOff>
      <xdr:row>16</xdr:row>
      <xdr:rowOff>28575</xdr:rowOff>
    </xdr:from>
    <xdr:to>
      <xdr:col>19</xdr:col>
      <xdr:colOff>588600</xdr:colOff>
      <xdr:row>18</xdr:row>
      <xdr:rowOff>45675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2AE7F93D-7381-480D-9A04-B97599B30175}"/>
            </a:ext>
          </a:extLst>
        </xdr:cNvPr>
        <xdr:cNvSpPr txBox="1"/>
      </xdr:nvSpPr>
      <xdr:spPr>
        <a:xfrm>
          <a:off x="10991850" y="2619375"/>
          <a:ext cx="360000" cy="34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D</a:t>
          </a:r>
        </a:p>
      </xdr:txBody>
    </xdr:sp>
    <xdr:clientData/>
  </xdr:twoCellAnchor>
  <xdr:twoCellAnchor>
    <xdr:from>
      <xdr:col>19</xdr:col>
      <xdr:colOff>142875</xdr:colOff>
      <xdr:row>18</xdr:row>
      <xdr:rowOff>104775</xdr:rowOff>
    </xdr:from>
    <xdr:to>
      <xdr:col>19</xdr:col>
      <xdr:colOff>723900</xdr:colOff>
      <xdr:row>18</xdr:row>
      <xdr:rowOff>104775</xdr:rowOff>
    </xdr:to>
    <xdr:cxnSp macro="">
      <xdr:nvCxnSpPr>
        <xdr:cNvPr id="17" name="Conector recto de flecha 16">
          <a:extLst>
            <a:ext uri="{FF2B5EF4-FFF2-40B4-BE49-F238E27FC236}">
              <a16:creationId xmlns:a16="http://schemas.microsoft.com/office/drawing/2014/main" id="{BD7885E1-D665-41EA-B6DE-15602782C768}"/>
            </a:ext>
          </a:extLst>
        </xdr:cNvPr>
        <xdr:cNvCxnSpPr/>
      </xdr:nvCxnSpPr>
      <xdr:spPr>
        <a:xfrm flipH="1">
          <a:off x="10906125" y="3019425"/>
          <a:ext cx="581025" cy="0"/>
        </a:xfrm>
        <a:prstGeom prst="straightConnector1">
          <a:avLst/>
        </a:prstGeom>
        <a:ln>
          <a:solidFill>
            <a:sysClr val="windowText" lastClr="00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142875</xdr:colOff>
      <xdr:row>16</xdr:row>
      <xdr:rowOff>28575</xdr:rowOff>
    </xdr:from>
    <xdr:to>
      <xdr:col>20</xdr:col>
      <xdr:colOff>502875</xdr:colOff>
      <xdr:row>18</xdr:row>
      <xdr:rowOff>36150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104B2C2-9D43-482D-B1ED-73529BBA32A7}"/>
            </a:ext>
          </a:extLst>
        </xdr:cNvPr>
        <xdr:cNvSpPr txBox="1"/>
      </xdr:nvSpPr>
      <xdr:spPr>
        <a:xfrm>
          <a:off x="10906125" y="3267075"/>
          <a:ext cx="360000" cy="407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E</a:t>
          </a:r>
        </a:p>
      </xdr:txBody>
    </xdr:sp>
    <xdr:clientData/>
  </xdr:twoCellAnchor>
  <xdr:twoCellAnchor>
    <xdr:from>
      <xdr:col>20</xdr:col>
      <xdr:colOff>19050</xdr:colOff>
      <xdr:row>18</xdr:row>
      <xdr:rowOff>104775</xdr:rowOff>
    </xdr:from>
    <xdr:to>
      <xdr:col>20</xdr:col>
      <xdr:colOff>590550</xdr:colOff>
      <xdr:row>18</xdr:row>
      <xdr:rowOff>104775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5F52DEEF-C464-4D7C-86AD-D9264D0B2FDB}"/>
            </a:ext>
          </a:extLst>
        </xdr:cNvPr>
        <xdr:cNvCxnSpPr/>
      </xdr:nvCxnSpPr>
      <xdr:spPr>
        <a:xfrm>
          <a:off x="11544300" y="3019425"/>
          <a:ext cx="5715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133351</xdr:colOff>
      <xdr:row>15</xdr:row>
      <xdr:rowOff>133350</xdr:rowOff>
    </xdr:from>
    <xdr:to>
      <xdr:col>19</xdr:col>
      <xdr:colOff>142875</xdr:colOff>
      <xdr:row>18</xdr:row>
      <xdr:rowOff>76200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862657D9-36F4-4E8F-957D-CB50F86E15D1}"/>
            </a:ext>
          </a:extLst>
        </xdr:cNvPr>
        <xdr:cNvCxnSpPr/>
      </xdr:nvCxnSpPr>
      <xdr:spPr>
        <a:xfrm flipH="1" flipV="1">
          <a:off x="10896601" y="2562225"/>
          <a:ext cx="9524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752475</xdr:colOff>
      <xdr:row>15</xdr:row>
      <xdr:rowOff>123825</xdr:rowOff>
    </xdr:from>
    <xdr:to>
      <xdr:col>19</xdr:col>
      <xdr:colOff>752478</xdr:colOff>
      <xdr:row>18</xdr:row>
      <xdr:rowOff>95250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54B79955-244A-4215-BFF2-103CCB7FAD0A}"/>
            </a:ext>
          </a:extLst>
        </xdr:cNvPr>
        <xdr:cNvCxnSpPr/>
      </xdr:nvCxnSpPr>
      <xdr:spPr>
        <a:xfrm>
          <a:off x="11515725" y="2552700"/>
          <a:ext cx="3" cy="457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342900</xdr:colOff>
      <xdr:row>13</xdr:row>
      <xdr:rowOff>76199</xdr:rowOff>
    </xdr:from>
    <xdr:to>
      <xdr:col>20</xdr:col>
      <xdr:colOff>619125</xdr:colOff>
      <xdr:row>14</xdr:row>
      <xdr:rowOff>76199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143049B7-3453-48CB-96E8-D1003159F436}"/>
            </a:ext>
          </a:extLst>
        </xdr:cNvPr>
        <xdr:cNvSpPr/>
      </xdr:nvSpPr>
      <xdr:spPr>
        <a:xfrm>
          <a:off x="11868150" y="2714624"/>
          <a:ext cx="276225" cy="20002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286263</xdr:colOff>
      <xdr:row>13</xdr:row>
      <xdr:rowOff>109119</xdr:rowOff>
    </xdr:from>
    <xdr:to>
      <xdr:col>20</xdr:col>
      <xdr:colOff>388178</xdr:colOff>
      <xdr:row>14</xdr:row>
      <xdr:rowOff>59115</xdr:rowOff>
    </xdr:to>
    <xdr:sp macro="" textlink="">
      <xdr:nvSpPr>
        <xdr:cNvPr id="47" name="Triángulo rectángulo 46">
          <a:extLst>
            <a:ext uri="{FF2B5EF4-FFF2-40B4-BE49-F238E27FC236}">
              <a16:creationId xmlns:a16="http://schemas.microsoft.com/office/drawing/2014/main" id="{93164562-F431-42EE-B4C4-0E3B89DE53EB}"/>
            </a:ext>
          </a:extLst>
        </xdr:cNvPr>
        <xdr:cNvSpPr/>
      </xdr:nvSpPr>
      <xdr:spPr>
        <a:xfrm rot="2584980">
          <a:off x="11811513" y="2214144"/>
          <a:ext cx="101915" cy="111921"/>
        </a:xfrm>
        <a:prstGeom prst="rt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619125</xdr:colOff>
      <xdr:row>12</xdr:row>
      <xdr:rowOff>133350</xdr:rowOff>
    </xdr:from>
    <xdr:to>
      <xdr:col>22</xdr:col>
      <xdr:colOff>95250</xdr:colOff>
      <xdr:row>12</xdr:row>
      <xdr:rowOff>133350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EFB1E59F-3B1E-4FBF-94EC-35972B8076C2}"/>
            </a:ext>
          </a:extLst>
        </xdr:cNvPr>
        <xdr:cNvCxnSpPr/>
      </xdr:nvCxnSpPr>
      <xdr:spPr>
        <a:xfrm>
          <a:off x="12144375" y="2076450"/>
          <a:ext cx="1000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628650</xdr:colOff>
      <xdr:row>15</xdr:row>
      <xdr:rowOff>28575</xdr:rowOff>
    </xdr:from>
    <xdr:to>
      <xdr:col>22</xdr:col>
      <xdr:colOff>95250</xdr:colOff>
      <xdr:row>15</xdr:row>
      <xdr:rowOff>38100</xdr:rowOff>
    </xdr:to>
    <xdr:cxnSp macro="">
      <xdr:nvCxnSpPr>
        <xdr:cNvPr id="54" name="Conector recto 53">
          <a:extLst>
            <a:ext uri="{FF2B5EF4-FFF2-40B4-BE49-F238E27FC236}">
              <a16:creationId xmlns:a16="http://schemas.microsoft.com/office/drawing/2014/main" id="{F6BFBC76-D56D-4ACF-81E5-EDF8E419A042}"/>
            </a:ext>
          </a:extLst>
        </xdr:cNvPr>
        <xdr:cNvCxnSpPr/>
      </xdr:nvCxnSpPr>
      <xdr:spPr>
        <a:xfrm>
          <a:off x="12153900" y="2457450"/>
          <a:ext cx="9906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171450</xdr:colOff>
      <xdr:row>12</xdr:row>
      <xdr:rowOff>152400</xdr:rowOff>
    </xdr:from>
    <xdr:to>
      <xdr:col>22</xdr:col>
      <xdr:colOff>531450</xdr:colOff>
      <xdr:row>15</xdr:row>
      <xdr:rowOff>26625</xdr:rowOff>
    </xdr:to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D416DA72-6A22-4326-A2BD-BACF3DADE4A0}"/>
            </a:ext>
          </a:extLst>
        </xdr:cNvPr>
        <xdr:cNvSpPr txBox="1"/>
      </xdr:nvSpPr>
      <xdr:spPr>
        <a:xfrm>
          <a:off x="13220700" y="20955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19</xdr:col>
      <xdr:colOff>666750</xdr:colOff>
      <xdr:row>12</xdr:row>
      <xdr:rowOff>9525</xdr:rowOff>
    </xdr:from>
    <xdr:to>
      <xdr:col>23</xdr:col>
      <xdr:colOff>485775</xdr:colOff>
      <xdr:row>12</xdr:row>
      <xdr:rowOff>9525</xdr:rowOff>
    </xdr:to>
    <xdr:cxnSp macro="">
      <xdr:nvCxnSpPr>
        <xdr:cNvPr id="67" name="Conector recto 66">
          <a:extLst>
            <a:ext uri="{FF2B5EF4-FFF2-40B4-BE49-F238E27FC236}">
              <a16:creationId xmlns:a16="http://schemas.microsoft.com/office/drawing/2014/main" id="{4CB49BBB-4028-4B6E-BA5B-73095D40E456}"/>
            </a:ext>
          </a:extLst>
        </xdr:cNvPr>
        <xdr:cNvCxnSpPr/>
      </xdr:nvCxnSpPr>
      <xdr:spPr>
        <a:xfrm>
          <a:off x="11430000" y="1952625"/>
          <a:ext cx="2867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15</xdr:row>
      <xdr:rowOff>152400</xdr:rowOff>
    </xdr:from>
    <xdr:to>
      <xdr:col>23</xdr:col>
      <xdr:colOff>476250</xdr:colOff>
      <xdr:row>15</xdr:row>
      <xdr:rowOff>152400</xdr:rowOff>
    </xdr:to>
    <xdr:cxnSp macro="">
      <xdr:nvCxnSpPr>
        <xdr:cNvPr id="71" name="Conector recto 70">
          <a:extLst>
            <a:ext uri="{FF2B5EF4-FFF2-40B4-BE49-F238E27FC236}">
              <a16:creationId xmlns:a16="http://schemas.microsoft.com/office/drawing/2014/main" id="{F85F001D-3176-4A9A-BCCE-28FF571D07FF}"/>
            </a:ext>
          </a:extLst>
        </xdr:cNvPr>
        <xdr:cNvCxnSpPr/>
      </xdr:nvCxnSpPr>
      <xdr:spPr>
        <a:xfrm>
          <a:off x="11534775" y="2581275"/>
          <a:ext cx="2752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485775</xdr:colOff>
      <xdr:row>12</xdr:row>
      <xdr:rowOff>76200</xdr:rowOff>
    </xdr:from>
    <xdr:to>
      <xdr:col>23</xdr:col>
      <xdr:colOff>485775</xdr:colOff>
      <xdr:row>15</xdr:row>
      <xdr:rowOff>104775</xdr:rowOff>
    </xdr:to>
    <xdr:cxnSp macro="">
      <xdr:nvCxnSpPr>
        <xdr:cNvPr id="73" name="Conector recto de flecha 72">
          <a:extLst>
            <a:ext uri="{FF2B5EF4-FFF2-40B4-BE49-F238E27FC236}">
              <a16:creationId xmlns:a16="http://schemas.microsoft.com/office/drawing/2014/main" id="{94C7F4F2-3777-4C96-ADB5-8851EB4DB94B}"/>
            </a:ext>
          </a:extLst>
        </xdr:cNvPr>
        <xdr:cNvCxnSpPr/>
      </xdr:nvCxnSpPr>
      <xdr:spPr>
        <a:xfrm>
          <a:off x="14297025" y="2019300"/>
          <a:ext cx="0" cy="514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581025</xdr:colOff>
      <xdr:row>12</xdr:row>
      <xdr:rowOff>152400</xdr:rowOff>
    </xdr:from>
    <xdr:to>
      <xdr:col>24</xdr:col>
      <xdr:colOff>179025</xdr:colOff>
      <xdr:row>15</xdr:row>
      <xdr:rowOff>26625</xdr:rowOff>
    </xdr:to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FA9605E2-F4C6-4123-B5D0-9D9AC2829C37}"/>
            </a:ext>
          </a:extLst>
        </xdr:cNvPr>
        <xdr:cNvSpPr txBox="1"/>
      </xdr:nvSpPr>
      <xdr:spPr>
        <a:xfrm>
          <a:off x="14392275" y="20955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18</xdr:col>
      <xdr:colOff>704850</xdr:colOff>
      <xdr:row>10</xdr:row>
      <xdr:rowOff>47625</xdr:rowOff>
    </xdr:from>
    <xdr:to>
      <xdr:col>19</xdr:col>
      <xdr:colOff>133349</xdr:colOff>
      <xdr:row>17</xdr:row>
      <xdr:rowOff>66675</xdr:rowOff>
    </xdr:to>
    <xdr:sp macro="" textlink="">
      <xdr:nvSpPr>
        <xdr:cNvPr id="80" name="Rectángulo: esquinas redondeadas 79">
          <a:extLst>
            <a:ext uri="{FF2B5EF4-FFF2-40B4-BE49-F238E27FC236}">
              <a16:creationId xmlns:a16="http://schemas.microsoft.com/office/drawing/2014/main" id="{9D533A2B-4067-4498-A895-5892F86ED68A}"/>
            </a:ext>
          </a:extLst>
        </xdr:cNvPr>
        <xdr:cNvSpPr/>
      </xdr:nvSpPr>
      <xdr:spPr>
        <a:xfrm>
          <a:off x="9944100" y="2085975"/>
          <a:ext cx="190499" cy="1419225"/>
        </a:xfrm>
        <a:prstGeom prst="roundRect">
          <a:avLst/>
        </a:prstGeom>
        <a:solidFill>
          <a:schemeClr val="accent6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361950</xdr:colOff>
      <xdr:row>10</xdr:row>
      <xdr:rowOff>66675</xdr:rowOff>
    </xdr:from>
    <xdr:to>
      <xdr:col>18</xdr:col>
      <xdr:colOff>704851</xdr:colOff>
      <xdr:row>10</xdr:row>
      <xdr:rowOff>66675</xdr:rowOff>
    </xdr:to>
    <xdr:cxnSp macro="">
      <xdr:nvCxnSpPr>
        <xdr:cNvPr id="84" name="Conector recto 83">
          <a:extLst>
            <a:ext uri="{FF2B5EF4-FFF2-40B4-BE49-F238E27FC236}">
              <a16:creationId xmlns:a16="http://schemas.microsoft.com/office/drawing/2014/main" id="{F1ECEE5C-47D1-49A9-BC52-ED1286F9A32A}"/>
            </a:ext>
          </a:extLst>
        </xdr:cNvPr>
        <xdr:cNvCxnSpPr/>
      </xdr:nvCxnSpPr>
      <xdr:spPr>
        <a:xfrm flipH="1">
          <a:off x="10363200" y="1685925"/>
          <a:ext cx="3429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409575</xdr:colOff>
      <xdr:row>17</xdr:row>
      <xdr:rowOff>57150</xdr:rowOff>
    </xdr:from>
    <xdr:to>
      <xdr:col>18</xdr:col>
      <xdr:colOff>695326</xdr:colOff>
      <xdr:row>17</xdr:row>
      <xdr:rowOff>57150</xdr:rowOff>
    </xdr:to>
    <xdr:cxnSp macro="">
      <xdr:nvCxnSpPr>
        <xdr:cNvPr id="86" name="Conector recto 85">
          <a:extLst>
            <a:ext uri="{FF2B5EF4-FFF2-40B4-BE49-F238E27FC236}">
              <a16:creationId xmlns:a16="http://schemas.microsoft.com/office/drawing/2014/main" id="{86BDEE85-577F-4A57-A599-09E0D3763CDB}"/>
            </a:ext>
          </a:extLst>
        </xdr:cNvPr>
        <xdr:cNvCxnSpPr/>
      </xdr:nvCxnSpPr>
      <xdr:spPr>
        <a:xfrm flipH="1">
          <a:off x="10410825" y="2809875"/>
          <a:ext cx="28575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628650</xdr:colOff>
      <xdr:row>15</xdr:row>
      <xdr:rowOff>19050</xdr:rowOff>
    </xdr:from>
    <xdr:to>
      <xdr:col>20</xdr:col>
      <xdr:colOff>638175</xdr:colOff>
      <xdr:row>18</xdr:row>
      <xdr:rowOff>104775</xdr:rowOff>
    </xdr:to>
    <xdr:cxnSp macro="">
      <xdr:nvCxnSpPr>
        <xdr:cNvPr id="88" name="Conector recto 87">
          <a:extLst>
            <a:ext uri="{FF2B5EF4-FFF2-40B4-BE49-F238E27FC236}">
              <a16:creationId xmlns:a16="http://schemas.microsoft.com/office/drawing/2014/main" id="{C4B88CAE-106E-4506-B8BF-B6B22380C89E}"/>
            </a:ext>
          </a:extLst>
        </xdr:cNvPr>
        <xdr:cNvCxnSpPr/>
      </xdr:nvCxnSpPr>
      <xdr:spPr>
        <a:xfrm flipH="1" flipV="1">
          <a:off x="12153900" y="2447925"/>
          <a:ext cx="9525" cy="571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600076</xdr:colOff>
      <xdr:row>86</xdr:row>
      <xdr:rowOff>38101</xdr:rowOff>
    </xdr:from>
    <xdr:to>
      <xdr:col>18</xdr:col>
      <xdr:colOff>733426</xdr:colOff>
      <xdr:row>93</xdr:row>
      <xdr:rowOff>123825</xdr:rowOff>
    </xdr:to>
    <xdr:sp macro="" textlink="">
      <xdr:nvSpPr>
        <xdr:cNvPr id="91" name="Rectángulo 90">
          <a:extLst>
            <a:ext uri="{FF2B5EF4-FFF2-40B4-BE49-F238E27FC236}">
              <a16:creationId xmlns:a16="http://schemas.microsoft.com/office/drawing/2014/main" id="{C8A84C5C-663C-4E7F-A199-16B6EFF0F00E}"/>
            </a:ext>
          </a:extLst>
        </xdr:cNvPr>
        <xdr:cNvSpPr/>
      </xdr:nvSpPr>
      <xdr:spPr>
        <a:xfrm>
          <a:off x="10601326" y="14773276"/>
          <a:ext cx="133350" cy="170497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752475</xdr:colOff>
      <xdr:row>87</xdr:row>
      <xdr:rowOff>123825</xdr:rowOff>
    </xdr:from>
    <xdr:to>
      <xdr:col>19</xdr:col>
      <xdr:colOff>666750</xdr:colOff>
      <xdr:row>92</xdr:row>
      <xdr:rowOff>9525</xdr:rowOff>
    </xdr:to>
    <xdr:sp macro="" textlink="">
      <xdr:nvSpPr>
        <xdr:cNvPr id="92" name="Rectángulo 91">
          <a:extLst>
            <a:ext uri="{FF2B5EF4-FFF2-40B4-BE49-F238E27FC236}">
              <a16:creationId xmlns:a16="http://schemas.microsoft.com/office/drawing/2014/main" id="{0EAF6305-C7CA-43B1-9F27-C3DA7FDC917E}"/>
            </a:ext>
          </a:extLst>
        </xdr:cNvPr>
        <xdr:cNvSpPr/>
      </xdr:nvSpPr>
      <xdr:spPr>
        <a:xfrm>
          <a:off x="10753725" y="15020925"/>
          <a:ext cx="676275" cy="857250"/>
        </a:xfrm>
        <a:prstGeom prst="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676275</xdr:colOff>
      <xdr:row>88</xdr:row>
      <xdr:rowOff>95250</xdr:rowOff>
    </xdr:from>
    <xdr:to>
      <xdr:col>21</xdr:col>
      <xdr:colOff>9525</xdr:colOff>
      <xdr:row>91</xdr:row>
      <xdr:rowOff>47625</xdr:rowOff>
    </xdr:to>
    <xdr:sp macro="" textlink="">
      <xdr:nvSpPr>
        <xdr:cNvPr id="93" name="Rectángulo 92">
          <a:extLst>
            <a:ext uri="{FF2B5EF4-FFF2-40B4-BE49-F238E27FC236}">
              <a16:creationId xmlns:a16="http://schemas.microsoft.com/office/drawing/2014/main" id="{60AD5896-44C9-4011-9921-741099820CD7}"/>
            </a:ext>
          </a:extLst>
        </xdr:cNvPr>
        <xdr:cNvSpPr/>
      </xdr:nvSpPr>
      <xdr:spPr>
        <a:xfrm>
          <a:off x="11439525" y="14697075"/>
          <a:ext cx="857250" cy="438150"/>
        </a:xfrm>
        <a:prstGeom prst="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419100</xdr:colOff>
      <xdr:row>89</xdr:row>
      <xdr:rowOff>76200</xdr:rowOff>
    </xdr:from>
    <xdr:to>
      <xdr:col>21</xdr:col>
      <xdr:colOff>0</xdr:colOff>
      <xdr:row>90</xdr:row>
      <xdr:rowOff>85725</xdr:rowOff>
    </xdr:to>
    <xdr:sp macro="" textlink="">
      <xdr:nvSpPr>
        <xdr:cNvPr id="94" name="Rectángulo 93">
          <a:extLst>
            <a:ext uri="{FF2B5EF4-FFF2-40B4-BE49-F238E27FC236}">
              <a16:creationId xmlns:a16="http://schemas.microsoft.com/office/drawing/2014/main" id="{39FF9148-E8F6-4733-B9F6-5339B969B0AF}"/>
            </a:ext>
          </a:extLst>
        </xdr:cNvPr>
        <xdr:cNvSpPr/>
      </xdr:nvSpPr>
      <xdr:spPr>
        <a:xfrm>
          <a:off x="11944350" y="14839950"/>
          <a:ext cx="342900" cy="1714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581025</xdr:colOff>
      <xdr:row>89</xdr:row>
      <xdr:rowOff>57150</xdr:rowOff>
    </xdr:from>
    <xdr:to>
      <xdr:col>18</xdr:col>
      <xdr:colOff>179025</xdr:colOff>
      <xdr:row>91</xdr:row>
      <xdr:rowOff>17100</xdr:rowOff>
    </xdr:to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8EE50874-E737-4D81-A967-7C61D052BB5C}"/>
            </a:ext>
          </a:extLst>
        </xdr:cNvPr>
        <xdr:cNvSpPr txBox="1"/>
      </xdr:nvSpPr>
      <xdr:spPr>
        <a:xfrm>
          <a:off x="9058275" y="183451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18</xdr:col>
      <xdr:colOff>304801</xdr:colOff>
      <xdr:row>86</xdr:row>
      <xdr:rowOff>85725</xdr:rowOff>
    </xdr:from>
    <xdr:to>
      <xdr:col>18</xdr:col>
      <xdr:colOff>314325</xdr:colOff>
      <xdr:row>93</xdr:row>
      <xdr:rowOff>85725</xdr:rowOff>
    </xdr:to>
    <xdr:cxnSp macro="">
      <xdr:nvCxnSpPr>
        <xdr:cNvPr id="97" name="Conector recto de flecha 96">
          <a:extLst>
            <a:ext uri="{FF2B5EF4-FFF2-40B4-BE49-F238E27FC236}">
              <a16:creationId xmlns:a16="http://schemas.microsoft.com/office/drawing/2014/main" id="{D2D5B05C-1D34-449C-AF9D-0802FA543EB3}"/>
            </a:ext>
          </a:extLst>
        </xdr:cNvPr>
        <xdr:cNvCxnSpPr/>
      </xdr:nvCxnSpPr>
      <xdr:spPr>
        <a:xfrm flipH="1">
          <a:off x="10306051" y="14363700"/>
          <a:ext cx="9524" cy="1143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295275</xdr:colOff>
      <xdr:row>86</xdr:row>
      <xdr:rowOff>28575</xdr:rowOff>
    </xdr:from>
    <xdr:to>
      <xdr:col>18</xdr:col>
      <xdr:colOff>714375</xdr:colOff>
      <xdr:row>86</xdr:row>
      <xdr:rowOff>28576</xdr:rowOff>
    </xdr:to>
    <xdr:cxnSp macro="">
      <xdr:nvCxnSpPr>
        <xdr:cNvPr id="102" name="Conector recto 101">
          <a:extLst>
            <a:ext uri="{FF2B5EF4-FFF2-40B4-BE49-F238E27FC236}">
              <a16:creationId xmlns:a16="http://schemas.microsoft.com/office/drawing/2014/main" id="{42863F6F-5785-4DF4-9542-ADCA9D693419}"/>
            </a:ext>
          </a:extLst>
        </xdr:cNvPr>
        <xdr:cNvCxnSpPr/>
      </xdr:nvCxnSpPr>
      <xdr:spPr>
        <a:xfrm flipV="1">
          <a:off x="10296525" y="14306550"/>
          <a:ext cx="4191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93</xdr:row>
      <xdr:rowOff>133350</xdr:rowOff>
    </xdr:from>
    <xdr:to>
      <xdr:col>18</xdr:col>
      <xdr:colOff>642938</xdr:colOff>
      <xdr:row>93</xdr:row>
      <xdr:rowOff>133351</xdr:rowOff>
    </xdr:to>
    <xdr:cxnSp macro="">
      <xdr:nvCxnSpPr>
        <xdr:cNvPr id="106" name="Conector recto 105">
          <a:extLst>
            <a:ext uri="{FF2B5EF4-FFF2-40B4-BE49-F238E27FC236}">
              <a16:creationId xmlns:a16="http://schemas.microsoft.com/office/drawing/2014/main" id="{0B7448FE-CDA3-44CB-99FF-D7B9CFBC7A98}"/>
            </a:ext>
          </a:extLst>
        </xdr:cNvPr>
        <xdr:cNvCxnSpPr>
          <a:endCxn id="156" idx="2"/>
        </xdr:cNvCxnSpPr>
      </xdr:nvCxnSpPr>
      <xdr:spPr>
        <a:xfrm flipV="1">
          <a:off x="10306050" y="15554325"/>
          <a:ext cx="33813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171449</xdr:colOff>
      <xdr:row>97</xdr:row>
      <xdr:rowOff>0</xdr:rowOff>
    </xdr:from>
    <xdr:to>
      <xdr:col>19</xdr:col>
      <xdr:colOff>531449</xdr:colOff>
      <xdr:row>97</xdr:row>
      <xdr:rowOff>360000</xdr:rowOff>
    </xdr:to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C24D2FA8-F6A6-4B8C-9787-A397A574B91A}"/>
            </a:ext>
          </a:extLst>
        </xdr:cNvPr>
        <xdr:cNvSpPr txBox="1"/>
      </xdr:nvSpPr>
      <xdr:spPr>
        <a:xfrm>
          <a:off x="10172699" y="197548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s-AR" sz="2400"/>
            <a:t>D</a:t>
          </a:r>
        </a:p>
      </xdr:txBody>
    </xdr:sp>
    <xdr:clientData/>
  </xdr:twoCellAnchor>
  <xdr:twoCellAnchor>
    <xdr:from>
      <xdr:col>18</xdr:col>
      <xdr:colOff>752475</xdr:colOff>
      <xdr:row>97</xdr:row>
      <xdr:rowOff>0</xdr:rowOff>
    </xdr:from>
    <xdr:to>
      <xdr:col>19</xdr:col>
      <xdr:colOff>619125</xdr:colOff>
      <xdr:row>97</xdr:row>
      <xdr:rowOff>0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CD08B766-F894-40BE-A926-EB3C6047F43B}"/>
            </a:ext>
          </a:extLst>
        </xdr:cNvPr>
        <xdr:cNvCxnSpPr/>
      </xdr:nvCxnSpPr>
      <xdr:spPr>
        <a:xfrm>
          <a:off x="10753725" y="16078200"/>
          <a:ext cx="6286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733425</xdr:colOff>
      <xdr:row>93</xdr:row>
      <xdr:rowOff>0</xdr:rowOff>
    </xdr:from>
    <xdr:to>
      <xdr:col>18</xdr:col>
      <xdr:colOff>742950</xdr:colOff>
      <xdr:row>97</xdr:row>
      <xdr:rowOff>0</xdr:rowOff>
    </xdr:to>
    <xdr:cxnSp macro="">
      <xdr:nvCxnSpPr>
        <xdr:cNvPr id="112" name="Conector recto 111">
          <a:extLst>
            <a:ext uri="{FF2B5EF4-FFF2-40B4-BE49-F238E27FC236}">
              <a16:creationId xmlns:a16="http://schemas.microsoft.com/office/drawing/2014/main" id="{8859E663-8EC6-41AA-AD5E-3271A2DB8F49}"/>
            </a:ext>
          </a:extLst>
        </xdr:cNvPr>
        <xdr:cNvCxnSpPr/>
      </xdr:nvCxnSpPr>
      <xdr:spPr>
        <a:xfrm>
          <a:off x="10734675" y="16192500"/>
          <a:ext cx="9525" cy="819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657227</xdr:colOff>
      <xdr:row>92</xdr:row>
      <xdr:rowOff>0</xdr:rowOff>
    </xdr:from>
    <xdr:to>
      <xdr:col>19</xdr:col>
      <xdr:colOff>666750</xdr:colOff>
      <xdr:row>97</xdr:row>
      <xdr:rowOff>0</xdr:rowOff>
    </xdr:to>
    <xdr:cxnSp macro="">
      <xdr:nvCxnSpPr>
        <xdr:cNvPr id="117" name="Conector recto 116">
          <a:extLst>
            <a:ext uri="{FF2B5EF4-FFF2-40B4-BE49-F238E27FC236}">
              <a16:creationId xmlns:a16="http://schemas.microsoft.com/office/drawing/2014/main" id="{BE8F8BA5-DF71-40B2-9E51-55C1BF5394C8}"/>
            </a:ext>
          </a:extLst>
        </xdr:cNvPr>
        <xdr:cNvCxnSpPr/>
      </xdr:nvCxnSpPr>
      <xdr:spPr>
        <a:xfrm>
          <a:off x="11420477" y="16030575"/>
          <a:ext cx="9523" cy="971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190500</xdr:colOff>
      <xdr:row>97</xdr:row>
      <xdr:rowOff>0</xdr:rowOff>
    </xdr:from>
    <xdr:to>
      <xdr:col>20</xdr:col>
      <xdr:colOff>550500</xdr:colOff>
      <xdr:row>97</xdr:row>
      <xdr:rowOff>360000</xdr:rowOff>
    </xdr:to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83847315-0D30-4D2C-9E78-C830296F28E6}"/>
            </a:ext>
          </a:extLst>
        </xdr:cNvPr>
        <xdr:cNvSpPr txBox="1"/>
      </xdr:nvSpPr>
      <xdr:spPr>
        <a:xfrm>
          <a:off x="10953750" y="197548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s-AR" sz="2400"/>
            <a:t>E</a:t>
          </a:r>
        </a:p>
      </xdr:txBody>
    </xdr:sp>
    <xdr:clientData/>
  </xdr:twoCellAnchor>
  <xdr:twoCellAnchor>
    <xdr:from>
      <xdr:col>19</xdr:col>
      <xdr:colOff>676275</xdr:colOff>
      <xdr:row>97</xdr:row>
      <xdr:rowOff>0</xdr:rowOff>
    </xdr:from>
    <xdr:to>
      <xdr:col>20</xdr:col>
      <xdr:colOff>714375</xdr:colOff>
      <xdr:row>97</xdr:row>
      <xdr:rowOff>1</xdr:rowOff>
    </xdr:to>
    <xdr:cxnSp macro="">
      <xdr:nvCxnSpPr>
        <xdr:cNvPr id="126" name="Conector recto de flecha 125">
          <a:extLst>
            <a:ext uri="{FF2B5EF4-FFF2-40B4-BE49-F238E27FC236}">
              <a16:creationId xmlns:a16="http://schemas.microsoft.com/office/drawing/2014/main" id="{0BEB6772-0DEE-48C9-87D9-2C725920B51F}"/>
            </a:ext>
          </a:extLst>
        </xdr:cNvPr>
        <xdr:cNvCxnSpPr/>
      </xdr:nvCxnSpPr>
      <xdr:spPr>
        <a:xfrm flipV="1">
          <a:off x="11439525" y="16078200"/>
          <a:ext cx="8001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742950</xdr:colOff>
      <xdr:row>91</xdr:row>
      <xdr:rowOff>152400</xdr:rowOff>
    </xdr:from>
    <xdr:to>
      <xdr:col>20</xdr:col>
      <xdr:colOff>742950</xdr:colOff>
      <xdr:row>97</xdr:row>
      <xdr:rowOff>38100</xdr:rowOff>
    </xdr:to>
    <xdr:cxnSp macro="">
      <xdr:nvCxnSpPr>
        <xdr:cNvPr id="129" name="Conector recto 128">
          <a:extLst>
            <a:ext uri="{FF2B5EF4-FFF2-40B4-BE49-F238E27FC236}">
              <a16:creationId xmlns:a16="http://schemas.microsoft.com/office/drawing/2014/main" id="{42AA9060-0C35-47AB-A4AF-D5CF5D691CCA}"/>
            </a:ext>
          </a:extLst>
        </xdr:cNvPr>
        <xdr:cNvCxnSpPr/>
      </xdr:nvCxnSpPr>
      <xdr:spPr>
        <a:xfrm flipV="1">
          <a:off x="12268200" y="15859125"/>
          <a:ext cx="0" cy="1181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91</xdr:row>
      <xdr:rowOff>47625</xdr:rowOff>
    </xdr:from>
    <xdr:to>
      <xdr:col>21</xdr:col>
      <xdr:colOff>752475</xdr:colOff>
      <xdr:row>91</xdr:row>
      <xdr:rowOff>47625</xdr:rowOff>
    </xdr:to>
    <xdr:cxnSp macro="">
      <xdr:nvCxnSpPr>
        <xdr:cNvPr id="131" name="Conector recto 130">
          <a:extLst>
            <a:ext uri="{FF2B5EF4-FFF2-40B4-BE49-F238E27FC236}">
              <a16:creationId xmlns:a16="http://schemas.microsoft.com/office/drawing/2014/main" id="{18460540-3DFD-490A-941F-AD0FCC26F09B}"/>
            </a:ext>
          </a:extLst>
        </xdr:cNvPr>
        <xdr:cNvCxnSpPr/>
      </xdr:nvCxnSpPr>
      <xdr:spPr>
        <a:xfrm>
          <a:off x="12287250" y="15135225"/>
          <a:ext cx="752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88</xdr:row>
      <xdr:rowOff>95250</xdr:rowOff>
    </xdr:from>
    <xdr:to>
      <xdr:col>22</xdr:col>
      <xdr:colOff>0</xdr:colOff>
      <xdr:row>88</xdr:row>
      <xdr:rowOff>95250</xdr:rowOff>
    </xdr:to>
    <xdr:cxnSp macro="">
      <xdr:nvCxnSpPr>
        <xdr:cNvPr id="133" name="Conector recto 132">
          <a:extLst>
            <a:ext uri="{FF2B5EF4-FFF2-40B4-BE49-F238E27FC236}">
              <a16:creationId xmlns:a16="http://schemas.microsoft.com/office/drawing/2014/main" id="{4BA5E7E5-2A42-453A-A091-497D7F22D7AC}"/>
            </a:ext>
          </a:extLst>
        </xdr:cNvPr>
        <xdr:cNvCxnSpPr/>
      </xdr:nvCxnSpPr>
      <xdr:spPr>
        <a:xfrm>
          <a:off x="12296775" y="14697075"/>
          <a:ext cx="752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733425</xdr:colOff>
      <xdr:row>88</xdr:row>
      <xdr:rowOff>142875</xdr:rowOff>
    </xdr:from>
    <xdr:to>
      <xdr:col>21</xdr:col>
      <xdr:colOff>733425</xdr:colOff>
      <xdr:row>91</xdr:row>
      <xdr:rowOff>19050</xdr:rowOff>
    </xdr:to>
    <xdr:cxnSp macro="">
      <xdr:nvCxnSpPr>
        <xdr:cNvPr id="135" name="Conector recto de flecha 134">
          <a:extLst>
            <a:ext uri="{FF2B5EF4-FFF2-40B4-BE49-F238E27FC236}">
              <a16:creationId xmlns:a16="http://schemas.microsoft.com/office/drawing/2014/main" id="{0158FE71-1E78-44FE-9901-12BEB6DC43CC}"/>
            </a:ext>
          </a:extLst>
        </xdr:cNvPr>
        <xdr:cNvCxnSpPr/>
      </xdr:nvCxnSpPr>
      <xdr:spPr>
        <a:xfrm>
          <a:off x="13020675" y="14744700"/>
          <a:ext cx="0" cy="3619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95250</xdr:colOff>
      <xdr:row>89</xdr:row>
      <xdr:rowOff>0</xdr:rowOff>
    </xdr:from>
    <xdr:to>
      <xdr:col>22</xdr:col>
      <xdr:colOff>455250</xdr:colOff>
      <xdr:row>90</xdr:row>
      <xdr:rowOff>159975</xdr:rowOff>
    </xdr:to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3DA66D81-C1B3-4CB5-B573-63628B800786}"/>
            </a:ext>
          </a:extLst>
        </xdr:cNvPr>
        <xdr:cNvSpPr txBox="1"/>
      </xdr:nvSpPr>
      <xdr:spPr>
        <a:xfrm>
          <a:off x="12382500" y="182880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19</xdr:col>
      <xdr:colOff>657225</xdr:colOff>
      <xdr:row>87</xdr:row>
      <xdr:rowOff>133350</xdr:rowOff>
    </xdr:from>
    <xdr:to>
      <xdr:col>23</xdr:col>
      <xdr:colOff>123825</xdr:colOff>
      <xdr:row>87</xdr:row>
      <xdr:rowOff>133350</xdr:rowOff>
    </xdr:to>
    <xdr:cxnSp macro="">
      <xdr:nvCxnSpPr>
        <xdr:cNvPr id="139" name="Conector recto 138">
          <a:extLst>
            <a:ext uri="{FF2B5EF4-FFF2-40B4-BE49-F238E27FC236}">
              <a16:creationId xmlns:a16="http://schemas.microsoft.com/office/drawing/2014/main" id="{9EBD3C61-54EF-48DF-BBF6-78FDF5EEE7CB}"/>
            </a:ext>
          </a:extLst>
        </xdr:cNvPr>
        <xdr:cNvCxnSpPr/>
      </xdr:nvCxnSpPr>
      <xdr:spPr>
        <a:xfrm>
          <a:off x="11420475" y="15030450"/>
          <a:ext cx="2514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657225</xdr:colOff>
      <xdr:row>92</xdr:row>
      <xdr:rowOff>0</xdr:rowOff>
    </xdr:from>
    <xdr:to>
      <xdr:col>23</xdr:col>
      <xdr:colOff>152400</xdr:colOff>
      <xdr:row>92</xdr:row>
      <xdr:rowOff>9525</xdr:rowOff>
    </xdr:to>
    <xdr:cxnSp macro="">
      <xdr:nvCxnSpPr>
        <xdr:cNvPr id="141" name="Conector recto 140">
          <a:extLst>
            <a:ext uri="{FF2B5EF4-FFF2-40B4-BE49-F238E27FC236}">
              <a16:creationId xmlns:a16="http://schemas.microsoft.com/office/drawing/2014/main" id="{9CB62987-1FCB-41FE-AEBB-F0CFF00AD26E}"/>
            </a:ext>
          </a:extLst>
        </xdr:cNvPr>
        <xdr:cNvCxnSpPr/>
      </xdr:nvCxnSpPr>
      <xdr:spPr>
        <a:xfrm>
          <a:off x="11420475" y="15249525"/>
          <a:ext cx="2543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114300</xdr:colOff>
      <xdr:row>88</xdr:row>
      <xdr:rowOff>9525</xdr:rowOff>
    </xdr:from>
    <xdr:to>
      <xdr:col>23</xdr:col>
      <xdr:colOff>123825</xdr:colOff>
      <xdr:row>91</xdr:row>
      <xdr:rowOff>152400</xdr:rowOff>
    </xdr:to>
    <xdr:cxnSp macro="">
      <xdr:nvCxnSpPr>
        <xdr:cNvPr id="143" name="Conector recto de flecha 142">
          <a:extLst>
            <a:ext uri="{FF2B5EF4-FFF2-40B4-BE49-F238E27FC236}">
              <a16:creationId xmlns:a16="http://schemas.microsoft.com/office/drawing/2014/main" id="{A011CEB8-77D2-4222-A7BD-9BBD345821C2}"/>
            </a:ext>
          </a:extLst>
        </xdr:cNvPr>
        <xdr:cNvCxnSpPr/>
      </xdr:nvCxnSpPr>
      <xdr:spPr>
        <a:xfrm>
          <a:off x="13925550" y="14611350"/>
          <a:ext cx="9525" cy="6286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238124</xdr:colOff>
      <xdr:row>89</xdr:row>
      <xdr:rowOff>9525</xdr:rowOff>
    </xdr:from>
    <xdr:to>
      <xdr:col>23</xdr:col>
      <xdr:colOff>598124</xdr:colOff>
      <xdr:row>90</xdr:row>
      <xdr:rowOff>169500</xdr:rowOff>
    </xdr:to>
    <xdr:sp macro="" textlink="">
      <xdr:nvSpPr>
        <xdr:cNvPr id="144" name="CuadroTexto 143">
          <a:extLst>
            <a:ext uri="{FF2B5EF4-FFF2-40B4-BE49-F238E27FC236}">
              <a16:creationId xmlns:a16="http://schemas.microsoft.com/office/drawing/2014/main" id="{749A67F2-BF1B-4280-AA88-FAFDC9436032}"/>
            </a:ext>
          </a:extLst>
        </xdr:cNvPr>
        <xdr:cNvSpPr txBox="1"/>
      </xdr:nvSpPr>
      <xdr:spPr>
        <a:xfrm>
          <a:off x="13287374" y="182975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18</xdr:col>
      <xdr:colOff>542925</xdr:colOff>
      <xdr:row>86</xdr:row>
      <xdr:rowOff>28575</xdr:rowOff>
    </xdr:from>
    <xdr:to>
      <xdr:col>18</xdr:col>
      <xdr:colOff>742950</xdr:colOff>
      <xdr:row>93</xdr:row>
      <xdr:rowOff>133350</xdr:rowOff>
    </xdr:to>
    <xdr:sp macro="" textlink="">
      <xdr:nvSpPr>
        <xdr:cNvPr id="156" name="Rectángulo: esquinas redondeadas 155">
          <a:extLst>
            <a:ext uri="{FF2B5EF4-FFF2-40B4-BE49-F238E27FC236}">
              <a16:creationId xmlns:a16="http://schemas.microsoft.com/office/drawing/2014/main" id="{A595A1CE-04CD-45B0-BAB0-8AB37C1875D3}"/>
            </a:ext>
          </a:extLst>
        </xdr:cNvPr>
        <xdr:cNvSpPr/>
      </xdr:nvSpPr>
      <xdr:spPr>
        <a:xfrm>
          <a:off x="10544175" y="14763750"/>
          <a:ext cx="200025" cy="1724025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590550</xdr:colOff>
      <xdr:row>114</xdr:row>
      <xdr:rowOff>104775</xdr:rowOff>
    </xdr:from>
    <xdr:to>
      <xdr:col>19</xdr:col>
      <xdr:colOff>0</xdr:colOff>
      <xdr:row>121</xdr:row>
      <xdr:rowOff>76200</xdr:rowOff>
    </xdr:to>
    <xdr:sp macro="" textlink="">
      <xdr:nvSpPr>
        <xdr:cNvPr id="157" name="Rectángulo: esquinas redondeadas 156">
          <a:extLst>
            <a:ext uri="{FF2B5EF4-FFF2-40B4-BE49-F238E27FC236}">
              <a16:creationId xmlns:a16="http://schemas.microsoft.com/office/drawing/2014/main" id="{4F19B8C2-4610-47B7-845A-4A376AC03417}"/>
            </a:ext>
          </a:extLst>
        </xdr:cNvPr>
        <xdr:cNvSpPr/>
      </xdr:nvSpPr>
      <xdr:spPr>
        <a:xfrm>
          <a:off x="10591800" y="20507325"/>
          <a:ext cx="171450" cy="1266825"/>
        </a:xfrm>
        <a:prstGeom prst="round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0</xdr:colOff>
      <xdr:row>116</xdr:row>
      <xdr:rowOff>28575</xdr:rowOff>
    </xdr:from>
    <xdr:to>
      <xdr:col>19</xdr:col>
      <xdr:colOff>466725</xdr:colOff>
      <xdr:row>119</xdr:row>
      <xdr:rowOff>133351</xdr:rowOff>
    </xdr:to>
    <xdr:sp macro="" textlink="">
      <xdr:nvSpPr>
        <xdr:cNvPr id="159" name="Rectángulo 158">
          <a:extLst>
            <a:ext uri="{FF2B5EF4-FFF2-40B4-BE49-F238E27FC236}">
              <a16:creationId xmlns:a16="http://schemas.microsoft.com/office/drawing/2014/main" id="{BF467C47-CF70-43B0-A837-1157066B825F}"/>
            </a:ext>
          </a:extLst>
        </xdr:cNvPr>
        <xdr:cNvSpPr/>
      </xdr:nvSpPr>
      <xdr:spPr>
        <a:xfrm>
          <a:off x="10763250" y="19364325"/>
          <a:ext cx="466725" cy="590551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466725</xdr:colOff>
      <xdr:row>116</xdr:row>
      <xdr:rowOff>123825</xdr:rowOff>
    </xdr:from>
    <xdr:to>
      <xdr:col>20</xdr:col>
      <xdr:colOff>485775</xdr:colOff>
      <xdr:row>119</xdr:row>
      <xdr:rowOff>66675</xdr:rowOff>
    </xdr:to>
    <xdr:sp macro="" textlink="">
      <xdr:nvSpPr>
        <xdr:cNvPr id="160" name="Rectángulo 159">
          <a:extLst>
            <a:ext uri="{FF2B5EF4-FFF2-40B4-BE49-F238E27FC236}">
              <a16:creationId xmlns:a16="http://schemas.microsoft.com/office/drawing/2014/main" id="{17ADD7A9-EACB-4A64-BDC6-6961BA42488C}"/>
            </a:ext>
          </a:extLst>
        </xdr:cNvPr>
        <xdr:cNvSpPr/>
      </xdr:nvSpPr>
      <xdr:spPr>
        <a:xfrm>
          <a:off x="11229975" y="19459575"/>
          <a:ext cx="781050" cy="428625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561975</xdr:colOff>
      <xdr:row>116</xdr:row>
      <xdr:rowOff>95250</xdr:rowOff>
    </xdr:from>
    <xdr:to>
      <xdr:col>18</xdr:col>
      <xdr:colOff>159975</xdr:colOff>
      <xdr:row>118</xdr:row>
      <xdr:rowOff>131400</xdr:rowOff>
    </xdr:to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FE4527C0-71DB-41E9-A445-1D6E70AD073D}"/>
            </a:ext>
          </a:extLst>
        </xdr:cNvPr>
        <xdr:cNvSpPr txBox="1"/>
      </xdr:nvSpPr>
      <xdr:spPr>
        <a:xfrm>
          <a:off x="9801225" y="194310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18</xdr:col>
      <xdr:colOff>238125</xdr:colOff>
      <xdr:row>114</xdr:row>
      <xdr:rowOff>123825</xdr:rowOff>
    </xdr:from>
    <xdr:to>
      <xdr:col>18</xdr:col>
      <xdr:colOff>247650</xdr:colOff>
      <xdr:row>121</xdr:row>
      <xdr:rowOff>47625</xdr:rowOff>
    </xdr:to>
    <xdr:cxnSp macro="">
      <xdr:nvCxnSpPr>
        <xdr:cNvPr id="163" name="Conector recto de flecha 162">
          <a:extLst>
            <a:ext uri="{FF2B5EF4-FFF2-40B4-BE49-F238E27FC236}">
              <a16:creationId xmlns:a16="http://schemas.microsoft.com/office/drawing/2014/main" id="{4F86329C-11C6-4AD3-9252-FFD6D7D946E5}"/>
            </a:ext>
          </a:extLst>
        </xdr:cNvPr>
        <xdr:cNvCxnSpPr/>
      </xdr:nvCxnSpPr>
      <xdr:spPr>
        <a:xfrm>
          <a:off x="10239375" y="19135725"/>
          <a:ext cx="9525" cy="10572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238125</xdr:colOff>
      <xdr:row>114</xdr:row>
      <xdr:rowOff>104775</xdr:rowOff>
    </xdr:from>
    <xdr:to>
      <xdr:col>18</xdr:col>
      <xdr:colOff>676275</xdr:colOff>
      <xdr:row>114</xdr:row>
      <xdr:rowOff>104775</xdr:rowOff>
    </xdr:to>
    <xdr:cxnSp macro="">
      <xdr:nvCxnSpPr>
        <xdr:cNvPr id="167" name="Conector recto 166">
          <a:extLst>
            <a:ext uri="{FF2B5EF4-FFF2-40B4-BE49-F238E27FC236}">
              <a16:creationId xmlns:a16="http://schemas.microsoft.com/office/drawing/2014/main" id="{28619DA7-BDBC-4CF4-8644-8AD6EC2C9E5D}"/>
            </a:ext>
          </a:extLst>
        </xdr:cNvPr>
        <xdr:cNvCxnSpPr>
          <a:stCxn id="157" idx="0"/>
        </xdr:cNvCxnSpPr>
      </xdr:nvCxnSpPr>
      <xdr:spPr>
        <a:xfrm flipH="1">
          <a:off x="10239375" y="20507325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238125</xdr:colOff>
      <xdr:row>121</xdr:row>
      <xdr:rowOff>76200</xdr:rowOff>
    </xdr:from>
    <xdr:to>
      <xdr:col>18</xdr:col>
      <xdr:colOff>676275</xdr:colOff>
      <xdr:row>121</xdr:row>
      <xdr:rowOff>76200</xdr:rowOff>
    </xdr:to>
    <xdr:cxnSp macro="">
      <xdr:nvCxnSpPr>
        <xdr:cNvPr id="169" name="Conector recto 168">
          <a:extLst>
            <a:ext uri="{FF2B5EF4-FFF2-40B4-BE49-F238E27FC236}">
              <a16:creationId xmlns:a16="http://schemas.microsoft.com/office/drawing/2014/main" id="{7592CD80-D4C1-4FB0-A119-C616E557F515}"/>
            </a:ext>
          </a:extLst>
        </xdr:cNvPr>
        <xdr:cNvCxnSpPr>
          <a:stCxn id="157" idx="2"/>
        </xdr:cNvCxnSpPr>
      </xdr:nvCxnSpPr>
      <xdr:spPr>
        <a:xfrm flipH="1">
          <a:off x="10239375" y="21774150"/>
          <a:ext cx="438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123</xdr:row>
      <xdr:rowOff>76200</xdr:rowOff>
    </xdr:from>
    <xdr:to>
      <xdr:col>19</xdr:col>
      <xdr:colOff>417150</xdr:colOff>
      <xdr:row>125</xdr:row>
      <xdr:rowOff>112350</xdr:rowOff>
    </xdr:to>
    <xdr:sp macro="" textlink="">
      <xdr:nvSpPr>
        <xdr:cNvPr id="170" name="CuadroTexto 169">
          <a:extLst>
            <a:ext uri="{FF2B5EF4-FFF2-40B4-BE49-F238E27FC236}">
              <a16:creationId xmlns:a16="http://schemas.microsoft.com/office/drawing/2014/main" id="{A1C2A2D4-1FD3-410C-A90F-B174CCDFC0CB}"/>
            </a:ext>
          </a:extLst>
        </xdr:cNvPr>
        <xdr:cNvSpPr txBox="1"/>
      </xdr:nvSpPr>
      <xdr:spPr>
        <a:xfrm>
          <a:off x="10820400" y="220980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D</a:t>
          </a:r>
        </a:p>
      </xdr:txBody>
    </xdr:sp>
    <xdr:clientData/>
  </xdr:twoCellAnchor>
  <xdr:twoCellAnchor>
    <xdr:from>
      <xdr:col>19</xdr:col>
      <xdr:colOff>19050</xdr:colOff>
      <xdr:row>123</xdr:row>
      <xdr:rowOff>0</xdr:rowOff>
    </xdr:from>
    <xdr:to>
      <xdr:col>19</xdr:col>
      <xdr:colOff>428625</xdr:colOff>
      <xdr:row>123</xdr:row>
      <xdr:rowOff>0</xdr:rowOff>
    </xdr:to>
    <xdr:cxnSp macro="">
      <xdr:nvCxnSpPr>
        <xdr:cNvPr id="172" name="Conector recto de flecha 171">
          <a:extLst>
            <a:ext uri="{FF2B5EF4-FFF2-40B4-BE49-F238E27FC236}">
              <a16:creationId xmlns:a16="http://schemas.microsoft.com/office/drawing/2014/main" id="{12B42B5D-8B9A-4942-A353-49FACB853378}"/>
            </a:ext>
          </a:extLst>
        </xdr:cNvPr>
        <xdr:cNvCxnSpPr/>
      </xdr:nvCxnSpPr>
      <xdr:spPr>
        <a:xfrm>
          <a:off x="10020300" y="25184100"/>
          <a:ext cx="4095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120</xdr:row>
      <xdr:rowOff>57150</xdr:rowOff>
    </xdr:from>
    <xdr:to>
      <xdr:col>19</xdr:col>
      <xdr:colOff>0</xdr:colOff>
      <xdr:row>123</xdr:row>
      <xdr:rowOff>9525</xdr:rowOff>
    </xdr:to>
    <xdr:cxnSp macro="">
      <xdr:nvCxnSpPr>
        <xdr:cNvPr id="174" name="Conector recto 173">
          <a:extLst>
            <a:ext uri="{FF2B5EF4-FFF2-40B4-BE49-F238E27FC236}">
              <a16:creationId xmlns:a16="http://schemas.microsoft.com/office/drawing/2014/main" id="{51E6E633-6FE2-4C8D-9EC8-1AD265FF82EB}"/>
            </a:ext>
          </a:extLst>
        </xdr:cNvPr>
        <xdr:cNvCxnSpPr/>
      </xdr:nvCxnSpPr>
      <xdr:spPr>
        <a:xfrm>
          <a:off x="10763250" y="21593175"/>
          <a:ext cx="0" cy="438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466725</xdr:colOff>
      <xdr:row>119</xdr:row>
      <xdr:rowOff>95250</xdr:rowOff>
    </xdr:from>
    <xdr:to>
      <xdr:col>19</xdr:col>
      <xdr:colOff>466725</xdr:colOff>
      <xdr:row>123</xdr:row>
      <xdr:rowOff>0</xdr:rowOff>
    </xdr:to>
    <xdr:cxnSp macro="">
      <xdr:nvCxnSpPr>
        <xdr:cNvPr id="179" name="Conector recto 178">
          <a:extLst>
            <a:ext uri="{FF2B5EF4-FFF2-40B4-BE49-F238E27FC236}">
              <a16:creationId xmlns:a16="http://schemas.microsoft.com/office/drawing/2014/main" id="{118AD605-5717-4BEA-B4D8-853E95E46053}"/>
            </a:ext>
          </a:extLst>
        </xdr:cNvPr>
        <xdr:cNvCxnSpPr/>
      </xdr:nvCxnSpPr>
      <xdr:spPr>
        <a:xfrm>
          <a:off x="11229975" y="21469350"/>
          <a:ext cx="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742950</xdr:colOff>
      <xdr:row>123</xdr:row>
      <xdr:rowOff>85725</xdr:rowOff>
    </xdr:from>
    <xdr:to>
      <xdr:col>20</xdr:col>
      <xdr:colOff>340950</xdr:colOff>
      <xdr:row>125</xdr:row>
      <xdr:rowOff>121875</xdr:rowOff>
    </xdr:to>
    <xdr:sp macro="" textlink="">
      <xdr:nvSpPr>
        <xdr:cNvPr id="184" name="CuadroTexto 183">
          <a:extLst>
            <a:ext uri="{FF2B5EF4-FFF2-40B4-BE49-F238E27FC236}">
              <a16:creationId xmlns:a16="http://schemas.microsoft.com/office/drawing/2014/main" id="{BA0384CB-99A5-4DD3-9C23-3F8604CE6C73}"/>
            </a:ext>
          </a:extLst>
        </xdr:cNvPr>
        <xdr:cNvSpPr txBox="1"/>
      </xdr:nvSpPr>
      <xdr:spPr>
        <a:xfrm>
          <a:off x="11506200" y="205549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E</a:t>
          </a:r>
        </a:p>
      </xdr:txBody>
    </xdr:sp>
    <xdr:clientData/>
  </xdr:twoCellAnchor>
  <xdr:twoCellAnchor>
    <xdr:from>
      <xdr:col>19</xdr:col>
      <xdr:colOff>495300</xdr:colOff>
      <xdr:row>123</xdr:row>
      <xdr:rowOff>0</xdr:rowOff>
    </xdr:from>
    <xdr:to>
      <xdr:col>20</xdr:col>
      <xdr:colOff>466725</xdr:colOff>
      <xdr:row>123</xdr:row>
      <xdr:rowOff>9525</xdr:rowOff>
    </xdr:to>
    <xdr:cxnSp macro="">
      <xdr:nvCxnSpPr>
        <xdr:cNvPr id="186" name="Conector recto de flecha 185">
          <a:extLst>
            <a:ext uri="{FF2B5EF4-FFF2-40B4-BE49-F238E27FC236}">
              <a16:creationId xmlns:a16="http://schemas.microsoft.com/office/drawing/2014/main" id="{81FE3163-2CF9-4A2D-99D5-69F31219ECC3}"/>
            </a:ext>
          </a:extLst>
        </xdr:cNvPr>
        <xdr:cNvCxnSpPr/>
      </xdr:nvCxnSpPr>
      <xdr:spPr>
        <a:xfrm>
          <a:off x="11258550" y="22021800"/>
          <a:ext cx="7334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119</xdr:row>
      <xdr:rowOff>0</xdr:rowOff>
    </xdr:from>
    <xdr:to>
      <xdr:col>20</xdr:col>
      <xdr:colOff>485775</xdr:colOff>
      <xdr:row>122</xdr:row>
      <xdr:rowOff>133350</xdr:rowOff>
    </xdr:to>
    <xdr:cxnSp macro="">
      <xdr:nvCxnSpPr>
        <xdr:cNvPr id="190" name="Conector recto 189">
          <a:extLst>
            <a:ext uri="{FF2B5EF4-FFF2-40B4-BE49-F238E27FC236}">
              <a16:creationId xmlns:a16="http://schemas.microsoft.com/office/drawing/2014/main" id="{0E9EDAE6-EF03-4496-B015-54223540BED3}"/>
            </a:ext>
          </a:extLst>
        </xdr:cNvPr>
        <xdr:cNvCxnSpPr/>
      </xdr:nvCxnSpPr>
      <xdr:spPr>
        <a:xfrm flipV="1">
          <a:off x="12011025" y="21374100"/>
          <a:ext cx="0" cy="619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116</xdr:row>
      <xdr:rowOff>123825</xdr:rowOff>
    </xdr:from>
    <xdr:to>
      <xdr:col>21</xdr:col>
      <xdr:colOff>447675</xdr:colOff>
      <xdr:row>116</xdr:row>
      <xdr:rowOff>123827</xdr:rowOff>
    </xdr:to>
    <xdr:cxnSp macro="">
      <xdr:nvCxnSpPr>
        <xdr:cNvPr id="192" name="Conector recto 191">
          <a:extLst>
            <a:ext uri="{FF2B5EF4-FFF2-40B4-BE49-F238E27FC236}">
              <a16:creationId xmlns:a16="http://schemas.microsoft.com/office/drawing/2014/main" id="{537E07EA-F73E-4A89-8682-B92F3B06000B}"/>
            </a:ext>
          </a:extLst>
        </xdr:cNvPr>
        <xdr:cNvCxnSpPr/>
      </xdr:nvCxnSpPr>
      <xdr:spPr>
        <a:xfrm flipV="1">
          <a:off x="12011025" y="19459575"/>
          <a:ext cx="72390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119</xdr:row>
      <xdr:rowOff>57150</xdr:rowOff>
    </xdr:from>
    <xdr:to>
      <xdr:col>21</xdr:col>
      <xdr:colOff>447675</xdr:colOff>
      <xdr:row>119</xdr:row>
      <xdr:rowOff>57150</xdr:rowOff>
    </xdr:to>
    <xdr:cxnSp macro="">
      <xdr:nvCxnSpPr>
        <xdr:cNvPr id="194" name="Conector recto 193">
          <a:extLst>
            <a:ext uri="{FF2B5EF4-FFF2-40B4-BE49-F238E27FC236}">
              <a16:creationId xmlns:a16="http://schemas.microsoft.com/office/drawing/2014/main" id="{BF02BEC9-48E4-45CF-955B-3D921ECDFBB9}"/>
            </a:ext>
          </a:extLst>
        </xdr:cNvPr>
        <xdr:cNvCxnSpPr/>
      </xdr:nvCxnSpPr>
      <xdr:spPr>
        <a:xfrm>
          <a:off x="12011025" y="19878675"/>
          <a:ext cx="723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561975</xdr:colOff>
      <xdr:row>117</xdr:row>
      <xdr:rowOff>9525</xdr:rowOff>
    </xdr:from>
    <xdr:to>
      <xdr:col>22</xdr:col>
      <xdr:colOff>159975</xdr:colOff>
      <xdr:row>119</xdr:row>
      <xdr:rowOff>45675</xdr:rowOff>
    </xdr:to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39FE5453-6CBC-4F39-B024-C0E402002827}"/>
            </a:ext>
          </a:extLst>
        </xdr:cNvPr>
        <xdr:cNvSpPr txBox="1"/>
      </xdr:nvSpPr>
      <xdr:spPr>
        <a:xfrm>
          <a:off x="12849225" y="195072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21</xdr:col>
      <xdr:colOff>466725</xdr:colOff>
      <xdr:row>116</xdr:row>
      <xdr:rowOff>152400</xdr:rowOff>
    </xdr:from>
    <xdr:to>
      <xdr:col>21</xdr:col>
      <xdr:colOff>466725</xdr:colOff>
      <xdr:row>119</xdr:row>
      <xdr:rowOff>47625</xdr:rowOff>
    </xdr:to>
    <xdr:cxnSp macro="">
      <xdr:nvCxnSpPr>
        <xdr:cNvPr id="199" name="Conector recto de flecha 198">
          <a:extLst>
            <a:ext uri="{FF2B5EF4-FFF2-40B4-BE49-F238E27FC236}">
              <a16:creationId xmlns:a16="http://schemas.microsoft.com/office/drawing/2014/main" id="{3D404363-A3A6-4E9A-84D3-99267D1EA460}"/>
            </a:ext>
          </a:extLst>
        </xdr:cNvPr>
        <xdr:cNvCxnSpPr/>
      </xdr:nvCxnSpPr>
      <xdr:spPr>
        <a:xfrm>
          <a:off x="12753975" y="19488150"/>
          <a:ext cx="0" cy="381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457200</xdr:colOff>
      <xdr:row>119</xdr:row>
      <xdr:rowOff>133350</xdr:rowOff>
    </xdr:from>
    <xdr:to>
      <xdr:col>22</xdr:col>
      <xdr:colOff>352425</xdr:colOff>
      <xdr:row>119</xdr:row>
      <xdr:rowOff>142875</xdr:rowOff>
    </xdr:to>
    <xdr:cxnSp macro="">
      <xdr:nvCxnSpPr>
        <xdr:cNvPr id="201" name="Conector recto 200">
          <a:extLst>
            <a:ext uri="{FF2B5EF4-FFF2-40B4-BE49-F238E27FC236}">
              <a16:creationId xmlns:a16="http://schemas.microsoft.com/office/drawing/2014/main" id="{9E30716A-BAAC-4082-A205-9F2F8B62F1E5}"/>
            </a:ext>
          </a:extLst>
        </xdr:cNvPr>
        <xdr:cNvCxnSpPr/>
      </xdr:nvCxnSpPr>
      <xdr:spPr>
        <a:xfrm flipV="1">
          <a:off x="10458450" y="24517350"/>
          <a:ext cx="2181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314325</xdr:colOff>
      <xdr:row>116</xdr:row>
      <xdr:rowOff>57150</xdr:rowOff>
    </xdr:from>
    <xdr:to>
      <xdr:col>22</xdr:col>
      <xdr:colOff>323850</xdr:colOff>
      <xdr:row>119</xdr:row>
      <xdr:rowOff>123825</xdr:rowOff>
    </xdr:to>
    <xdr:cxnSp macro="">
      <xdr:nvCxnSpPr>
        <xdr:cNvPr id="208" name="Conector recto de flecha 207">
          <a:extLst>
            <a:ext uri="{FF2B5EF4-FFF2-40B4-BE49-F238E27FC236}">
              <a16:creationId xmlns:a16="http://schemas.microsoft.com/office/drawing/2014/main" id="{5B7A73FC-7653-40CC-8C1F-CC431C9C819F}"/>
            </a:ext>
          </a:extLst>
        </xdr:cNvPr>
        <xdr:cNvCxnSpPr/>
      </xdr:nvCxnSpPr>
      <xdr:spPr>
        <a:xfrm>
          <a:off x="12601575" y="23841075"/>
          <a:ext cx="9525" cy="6667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466724</xdr:colOff>
      <xdr:row>117</xdr:row>
      <xdr:rowOff>9525</xdr:rowOff>
    </xdr:from>
    <xdr:to>
      <xdr:col>23</xdr:col>
      <xdr:colOff>64724</xdr:colOff>
      <xdr:row>119</xdr:row>
      <xdr:rowOff>45675</xdr:rowOff>
    </xdr:to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965EFA48-3390-41CB-9B9C-CC96BCE4CD03}"/>
            </a:ext>
          </a:extLst>
        </xdr:cNvPr>
        <xdr:cNvSpPr txBox="1"/>
      </xdr:nvSpPr>
      <xdr:spPr>
        <a:xfrm>
          <a:off x="13515974" y="195072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17</xdr:col>
      <xdr:colOff>581025</xdr:colOff>
      <xdr:row>191</xdr:row>
      <xdr:rowOff>114300</xdr:rowOff>
    </xdr:from>
    <xdr:to>
      <xdr:col>17</xdr:col>
      <xdr:colOff>742950</xdr:colOff>
      <xdr:row>197</xdr:row>
      <xdr:rowOff>38100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A585DBBE-EB79-4A02-AC5C-869444F58FA6}"/>
            </a:ext>
          </a:extLst>
        </xdr:cNvPr>
        <xdr:cNvSpPr/>
      </xdr:nvSpPr>
      <xdr:spPr>
        <a:xfrm>
          <a:off x="10582275" y="35899725"/>
          <a:ext cx="161925" cy="895350"/>
        </a:xfrm>
        <a:prstGeom prst="round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752475</xdr:colOff>
      <xdr:row>193</xdr:row>
      <xdr:rowOff>47625</xdr:rowOff>
    </xdr:from>
    <xdr:to>
      <xdr:col>19</xdr:col>
      <xdr:colOff>419100</xdr:colOff>
      <xdr:row>195</xdr:row>
      <xdr:rowOff>123825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4EE5CE8B-D9F5-4AA4-AA61-C77D5E66816B}"/>
            </a:ext>
          </a:extLst>
        </xdr:cNvPr>
        <xdr:cNvSpPr/>
      </xdr:nvSpPr>
      <xdr:spPr>
        <a:xfrm>
          <a:off x="10753725" y="36156900"/>
          <a:ext cx="1190625" cy="40005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161925</xdr:colOff>
      <xdr:row>194</xdr:row>
      <xdr:rowOff>19050</xdr:rowOff>
    </xdr:from>
    <xdr:to>
      <xdr:col>19</xdr:col>
      <xdr:colOff>409575</xdr:colOff>
      <xdr:row>194</xdr:row>
      <xdr:rowOff>152400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84E8909D-F528-4196-8433-BE252FA93FD2}"/>
            </a:ext>
          </a:extLst>
        </xdr:cNvPr>
        <xdr:cNvSpPr/>
      </xdr:nvSpPr>
      <xdr:spPr>
        <a:xfrm>
          <a:off x="11687175" y="36290250"/>
          <a:ext cx="247650" cy="1333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590550</xdr:colOff>
      <xdr:row>193</xdr:row>
      <xdr:rowOff>66674</xdr:rowOff>
    </xdr:from>
    <xdr:to>
      <xdr:col>17</xdr:col>
      <xdr:colOff>188550</xdr:colOff>
      <xdr:row>195</xdr:row>
      <xdr:rowOff>102824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7DEEA46-CDEC-4AC1-AF3D-0899B7F1EC8D}"/>
            </a:ext>
          </a:extLst>
        </xdr:cNvPr>
        <xdr:cNvSpPr txBox="1"/>
      </xdr:nvSpPr>
      <xdr:spPr>
        <a:xfrm>
          <a:off x="9829800" y="36175949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17</xdr:col>
      <xdr:colOff>219078</xdr:colOff>
      <xdr:row>197</xdr:row>
      <xdr:rowOff>38100</xdr:rowOff>
    </xdr:from>
    <xdr:to>
      <xdr:col>17</xdr:col>
      <xdr:colOff>661988</xdr:colOff>
      <xdr:row>197</xdr:row>
      <xdr:rowOff>38100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4C90834B-1F37-444F-8DE3-C9F594F5350A}"/>
            </a:ext>
          </a:extLst>
        </xdr:cNvPr>
        <xdr:cNvCxnSpPr>
          <a:stCxn id="3" idx="2"/>
        </xdr:cNvCxnSpPr>
      </xdr:nvCxnSpPr>
      <xdr:spPr>
        <a:xfrm flipH="1">
          <a:off x="10220328" y="36795075"/>
          <a:ext cx="44291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209553</xdr:colOff>
      <xdr:row>191</xdr:row>
      <xdr:rowOff>114300</xdr:rowOff>
    </xdr:from>
    <xdr:to>
      <xdr:col>17</xdr:col>
      <xdr:colOff>661988</xdr:colOff>
      <xdr:row>191</xdr:row>
      <xdr:rowOff>114301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880A152D-165C-4D36-A261-135B7143E215}"/>
            </a:ext>
          </a:extLst>
        </xdr:cNvPr>
        <xdr:cNvCxnSpPr>
          <a:stCxn id="3" idx="0"/>
        </xdr:cNvCxnSpPr>
      </xdr:nvCxnSpPr>
      <xdr:spPr>
        <a:xfrm flipH="1">
          <a:off x="10210803" y="35899725"/>
          <a:ext cx="45243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191</xdr:row>
      <xdr:rowOff>142875</xdr:rowOff>
    </xdr:from>
    <xdr:to>
      <xdr:col>17</xdr:col>
      <xdr:colOff>209550</xdr:colOff>
      <xdr:row>197</xdr:row>
      <xdr:rowOff>0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BAFD8436-E4D8-4D11-8B14-BDBE40FC984D}"/>
            </a:ext>
          </a:extLst>
        </xdr:cNvPr>
        <xdr:cNvCxnSpPr/>
      </xdr:nvCxnSpPr>
      <xdr:spPr>
        <a:xfrm>
          <a:off x="8686800" y="38576250"/>
          <a:ext cx="0" cy="10572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200</xdr:row>
      <xdr:rowOff>66675</xdr:rowOff>
    </xdr:from>
    <xdr:to>
      <xdr:col>19</xdr:col>
      <xdr:colOff>36150</xdr:colOff>
      <xdr:row>202</xdr:row>
      <xdr:rowOff>102825</xdr:rowOff>
    </xdr:to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6B8913C1-9BB1-4114-9DD8-C170026D3D0B}"/>
            </a:ext>
          </a:extLst>
        </xdr:cNvPr>
        <xdr:cNvSpPr txBox="1"/>
      </xdr:nvSpPr>
      <xdr:spPr>
        <a:xfrm>
          <a:off x="11201400" y="373094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17</xdr:col>
      <xdr:colOff>742950</xdr:colOff>
      <xdr:row>196</xdr:row>
      <xdr:rowOff>76200</xdr:rowOff>
    </xdr:from>
    <xdr:to>
      <xdr:col>17</xdr:col>
      <xdr:colOff>752475</xdr:colOff>
      <xdr:row>200</xdr:row>
      <xdr:rowOff>9525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EBDBB9F3-F9A4-4C4D-A380-DB11B30D798C}"/>
            </a:ext>
          </a:extLst>
        </xdr:cNvPr>
        <xdr:cNvCxnSpPr/>
      </xdr:nvCxnSpPr>
      <xdr:spPr>
        <a:xfrm>
          <a:off x="10744200" y="36671250"/>
          <a:ext cx="9525" cy="581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419100</xdr:colOff>
      <xdr:row>195</xdr:row>
      <xdr:rowOff>133350</xdr:rowOff>
    </xdr:from>
    <xdr:to>
      <xdr:col>19</xdr:col>
      <xdr:colOff>419100</xdr:colOff>
      <xdr:row>200</xdr:row>
      <xdr:rowOff>0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578379FF-B2C2-4C45-8C49-AF5716C3C119}"/>
            </a:ext>
          </a:extLst>
        </xdr:cNvPr>
        <xdr:cNvCxnSpPr/>
      </xdr:nvCxnSpPr>
      <xdr:spPr>
        <a:xfrm>
          <a:off x="11944350" y="36566475"/>
          <a:ext cx="0" cy="666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47625</xdr:colOff>
      <xdr:row>200</xdr:row>
      <xdr:rowOff>0</xdr:rowOff>
    </xdr:from>
    <xdr:to>
      <xdr:col>19</xdr:col>
      <xdr:colOff>381000</xdr:colOff>
      <xdr:row>200</xdr:row>
      <xdr:rowOff>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9DB64C5C-6550-464E-B566-0735FC2A142C}"/>
            </a:ext>
          </a:extLst>
        </xdr:cNvPr>
        <xdr:cNvCxnSpPr/>
      </xdr:nvCxnSpPr>
      <xdr:spPr>
        <a:xfrm>
          <a:off x="10810875" y="37242750"/>
          <a:ext cx="10953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581025</xdr:colOff>
      <xdr:row>193</xdr:row>
      <xdr:rowOff>66675</xdr:rowOff>
    </xdr:from>
    <xdr:to>
      <xdr:col>21</xdr:col>
      <xdr:colOff>179025</xdr:colOff>
      <xdr:row>195</xdr:row>
      <xdr:rowOff>102825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BD0363E9-440C-4EAD-A9DB-9EB55F7AA08D}"/>
            </a:ext>
          </a:extLst>
        </xdr:cNvPr>
        <xdr:cNvSpPr txBox="1"/>
      </xdr:nvSpPr>
      <xdr:spPr>
        <a:xfrm>
          <a:off x="12868275" y="361759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19</xdr:col>
      <xdr:colOff>428625</xdr:colOff>
      <xdr:row>195</xdr:row>
      <xdr:rowOff>123825</xdr:rowOff>
    </xdr:from>
    <xdr:to>
      <xdr:col>20</xdr:col>
      <xdr:colOff>504825</xdr:colOff>
      <xdr:row>195</xdr:row>
      <xdr:rowOff>123825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BEF54E70-00E0-43F4-9E51-2B1E80172953}"/>
            </a:ext>
          </a:extLst>
        </xdr:cNvPr>
        <xdr:cNvCxnSpPr/>
      </xdr:nvCxnSpPr>
      <xdr:spPr>
        <a:xfrm>
          <a:off x="11953875" y="36556950"/>
          <a:ext cx="838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409575</xdr:colOff>
      <xdr:row>193</xdr:row>
      <xdr:rowOff>47625</xdr:rowOff>
    </xdr:from>
    <xdr:to>
      <xdr:col>20</xdr:col>
      <xdr:colOff>485775</xdr:colOff>
      <xdr:row>193</xdr:row>
      <xdr:rowOff>57150</xdr:rowOff>
    </xdr:to>
    <xdr:cxnSp macro="">
      <xdr:nvCxnSpPr>
        <xdr:cNvPr id="52" name="Conector recto 51">
          <a:extLst>
            <a:ext uri="{FF2B5EF4-FFF2-40B4-BE49-F238E27FC236}">
              <a16:creationId xmlns:a16="http://schemas.microsoft.com/office/drawing/2014/main" id="{1479243A-5C72-41AB-915D-B6D1DC373B22}"/>
            </a:ext>
          </a:extLst>
        </xdr:cNvPr>
        <xdr:cNvCxnSpPr/>
      </xdr:nvCxnSpPr>
      <xdr:spPr>
        <a:xfrm>
          <a:off x="11934825" y="36156900"/>
          <a:ext cx="8382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485775</xdr:colOff>
      <xdr:row>193</xdr:row>
      <xdr:rowOff>85725</xdr:rowOff>
    </xdr:from>
    <xdr:to>
      <xdr:col>20</xdr:col>
      <xdr:colOff>495300</xdr:colOff>
      <xdr:row>195</xdr:row>
      <xdr:rowOff>85725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25CD87C1-CB5E-4960-B221-484F809CB16F}"/>
            </a:ext>
          </a:extLst>
        </xdr:cNvPr>
        <xdr:cNvCxnSpPr/>
      </xdr:nvCxnSpPr>
      <xdr:spPr>
        <a:xfrm>
          <a:off x="12773025" y="36195000"/>
          <a:ext cx="9525" cy="3238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285750</xdr:colOff>
      <xdr:row>190</xdr:row>
      <xdr:rowOff>28575</xdr:rowOff>
    </xdr:from>
    <xdr:to>
      <xdr:col>19</xdr:col>
      <xdr:colOff>742950</xdr:colOff>
      <xdr:row>194</xdr:row>
      <xdr:rowOff>19050</xdr:rowOff>
    </xdr:to>
    <xdr:cxnSp macro="">
      <xdr:nvCxnSpPr>
        <xdr:cNvPr id="61" name="Conector recto de flecha 60">
          <a:extLst>
            <a:ext uri="{FF2B5EF4-FFF2-40B4-BE49-F238E27FC236}">
              <a16:creationId xmlns:a16="http://schemas.microsoft.com/office/drawing/2014/main" id="{6867EA17-703D-4D42-BC09-FA1B66627651}"/>
            </a:ext>
          </a:extLst>
        </xdr:cNvPr>
        <xdr:cNvCxnSpPr>
          <a:stCxn id="8" idx="0"/>
        </xdr:cNvCxnSpPr>
      </xdr:nvCxnSpPr>
      <xdr:spPr>
        <a:xfrm flipV="1">
          <a:off x="11811000" y="35652075"/>
          <a:ext cx="457200" cy="638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647700</xdr:colOff>
      <xdr:row>290</xdr:row>
      <xdr:rowOff>123825</xdr:rowOff>
    </xdr:from>
    <xdr:to>
      <xdr:col>16</xdr:col>
      <xdr:colOff>742950</xdr:colOff>
      <xdr:row>294</xdr:row>
      <xdr:rowOff>142875</xdr:rowOff>
    </xdr:to>
    <xdr:sp macro="" textlink="">
      <xdr:nvSpPr>
        <xdr:cNvPr id="64" name="Rectángulo: esquinas redondeadas 63">
          <a:extLst>
            <a:ext uri="{FF2B5EF4-FFF2-40B4-BE49-F238E27FC236}">
              <a16:creationId xmlns:a16="http://schemas.microsoft.com/office/drawing/2014/main" id="{DEB41A17-715C-4CD4-A671-FCE0167D9A8C}"/>
            </a:ext>
          </a:extLst>
        </xdr:cNvPr>
        <xdr:cNvSpPr/>
      </xdr:nvSpPr>
      <xdr:spPr>
        <a:xfrm>
          <a:off x="10648950" y="52587525"/>
          <a:ext cx="95250" cy="666750"/>
        </a:xfrm>
        <a:prstGeom prst="round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742950</xdr:colOff>
      <xdr:row>291</xdr:row>
      <xdr:rowOff>95250</xdr:rowOff>
    </xdr:from>
    <xdr:to>
      <xdr:col>17</xdr:col>
      <xdr:colOff>419100</xdr:colOff>
      <xdr:row>294</xdr:row>
      <xdr:rowOff>28575</xdr:rowOff>
    </xdr:to>
    <xdr:sp macro="" textlink="">
      <xdr:nvSpPr>
        <xdr:cNvPr id="66" name="Rectángulo 65">
          <a:extLst>
            <a:ext uri="{FF2B5EF4-FFF2-40B4-BE49-F238E27FC236}">
              <a16:creationId xmlns:a16="http://schemas.microsoft.com/office/drawing/2014/main" id="{7D10AAAE-4F20-4646-BD2C-BEF6CA0FDFFA}"/>
            </a:ext>
          </a:extLst>
        </xdr:cNvPr>
        <xdr:cNvSpPr/>
      </xdr:nvSpPr>
      <xdr:spPr>
        <a:xfrm>
          <a:off x="10744200" y="52720875"/>
          <a:ext cx="438150" cy="419100"/>
        </a:xfrm>
        <a:prstGeom prst="rect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286014</xdr:colOff>
      <xdr:row>291</xdr:row>
      <xdr:rowOff>187322</xdr:rowOff>
    </xdr:from>
    <xdr:to>
      <xdr:col>17</xdr:col>
      <xdr:colOff>585380</xdr:colOff>
      <xdr:row>293</xdr:row>
      <xdr:rowOff>156655</xdr:rowOff>
    </xdr:to>
    <xdr:sp macro="" textlink="">
      <xdr:nvSpPr>
        <xdr:cNvPr id="68" name="Franja diagonal 67">
          <a:extLst>
            <a:ext uri="{FF2B5EF4-FFF2-40B4-BE49-F238E27FC236}">
              <a16:creationId xmlns:a16="http://schemas.microsoft.com/office/drawing/2014/main" id="{4410CF47-4720-4570-B2DF-74FD134642D4}"/>
            </a:ext>
          </a:extLst>
        </xdr:cNvPr>
        <xdr:cNvSpPr/>
      </xdr:nvSpPr>
      <xdr:spPr>
        <a:xfrm rot="7711415">
          <a:off x="8728255" y="60153631"/>
          <a:ext cx="369383" cy="299366"/>
        </a:xfrm>
        <a:prstGeom prst="diagStripe">
          <a:avLst>
            <a:gd name="adj" fmla="val 51543"/>
          </a:avLst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533400</xdr:colOff>
      <xdr:row>291</xdr:row>
      <xdr:rowOff>76200</xdr:rowOff>
    </xdr:from>
    <xdr:to>
      <xdr:col>16</xdr:col>
      <xdr:colOff>131400</xdr:colOff>
      <xdr:row>293</xdr:row>
      <xdr:rowOff>112350</xdr:rowOff>
    </xdr:to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E021C78E-4456-47FA-9B8A-29F92E51F3DB}"/>
            </a:ext>
          </a:extLst>
        </xdr:cNvPr>
        <xdr:cNvSpPr txBox="1"/>
      </xdr:nvSpPr>
      <xdr:spPr>
        <a:xfrm>
          <a:off x="8248650" y="486156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16</xdr:col>
      <xdr:colOff>209550</xdr:colOff>
      <xdr:row>290</xdr:row>
      <xdr:rowOff>123825</xdr:rowOff>
    </xdr:from>
    <xdr:to>
      <xdr:col>16</xdr:col>
      <xdr:colOff>695325</xdr:colOff>
      <xdr:row>290</xdr:row>
      <xdr:rowOff>123825</xdr:rowOff>
    </xdr:to>
    <xdr:cxnSp macro="">
      <xdr:nvCxnSpPr>
        <xdr:cNvPr id="72" name="Conector recto 71">
          <a:extLst>
            <a:ext uri="{FF2B5EF4-FFF2-40B4-BE49-F238E27FC236}">
              <a16:creationId xmlns:a16="http://schemas.microsoft.com/office/drawing/2014/main" id="{B658CC86-545B-4CE7-9B31-D233D0A05856}"/>
            </a:ext>
          </a:extLst>
        </xdr:cNvPr>
        <xdr:cNvCxnSpPr>
          <a:stCxn id="64" idx="0"/>
        </xdr:cNvCxnSpPr>
      </xdr:nvCxnSpPr>
      <xdr:spPr>
        <a:xfrm flipH="1">
          <a:off x="10210800" y="52587525"/>
          <a:ext cx="4857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200025</xdr:colOff>
      <xdr:row>294</xdr:row>
      <xdr:rowOff>142875</xdr:rowOff>
    </xdr:from>
    <xdr:to>
      <xdr:col>16</xdr:col>
      <xdr:colOff>695325</xdr:colOff>
      <xdr:row>294</xdr:row>
      <xdr:rowOff>142875</xdr:rowOff>
    </xdr:to>
    <xdr:cxnSp macro="">
      <xdr:nvCxnSpPr>
        <xdr:cNvPr id="75" name="Conector recto 74">
          <a:extLst>
            <a:ext uri="{FF2B5EF4-FFF2-40B4-BE49-F238E27FC236}">
              <a16:creationId xmlns:a16="http://schemas.microsoft.com/office/drawing/2014/main" id="{CD534600-D8CB-4BE8-9DA5-E40CD40BDD40}"/>
            </a:ext>
          </a:extLst>
        </xdr:cNvPr>
        <xdr:cNvCxnSpPr>
          <a:stCxn id="64" idx="2"/>
        </xdr:cNvCxnSpPr>
      </xdr:nvCxnSpPr>
      <xdr:spPr>
        <a:xfrm flipH="1">
          <a:off x="10201275" y="53254275"/>
          <a:ext cx="495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695325</xdr:colOff>
      <xdr:row>114</xdr:row>
      <xdr:rowOff>142875</xdr:rowOff>
    </xdr:from>
    <xdr:to>
      <xdr:col>19</xdr:col>
      <xdr:colOff>57150</xdr:colOff>
      <xdr:row>116</xdr:row>
      <xdr:rowOff>57150</xdr:rowOff>
    </xdr:to>
    <xdr:sp macro="" textlink="">
      <xdr:nvSpPr>
        <xdr:cNvPr id="99" name="Cuerda 98">
          <a:extLst>
            <a:ext uri="{FF2B5EF4-FFF2-40B4-BE49-F238E27FC236}">
              <a16:creationId xmlns:a16="http://schemas.microsoft.com/office/drawing/2014/main" id="{178B177B-C17D-4705-AF78-074948AC171D}"/>
            </a:ext>
          </a:extLst>
        </xdr:cNvPr>
        <xdr:cNvSpPr/>
      </xdr:nvSpPr>
      <xdr:spPr>
        <a:xfrm>
          <a:off x="10696575" y="19154775"/>
          <a:ext cx="123825" cy="238125"/>
        </a:xfrm>
        <a:prstGeom prst="chord">
          <a:avLst>
            <a:gd name="adj1" fmla="val 5435964"/>
            <a:gd name="adj2" fmla="val 16200000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714375</xdr:colOff>
      <xdr:row>119</xdr:row>
      <xdr:rowOff>104775</xdr:rowOff>
    </xdr:from>
    <xdr:to>
      <xdr:col>19</xdr:col>
      <xdr:colOff>66675</xdr:colOff>
      <xdr:row>121</xdr:row>
      <xdr:rowOff>28575</xdr:rowOff>
    </xdr:to>
    <xdr:sp macro="" textlink="">
      <xdr:nvSpPr>
        <xdr:cNvPr id="100" name="Cuerda 99">
          <a:extLst>
            <a:ext uri="{FF2B5EF4-FFF2-40B4-BE49-F238E27FC236}">
              <a16:creationId xmlns:a16="http://schemas.microsoft.com/office/drawing/2014/main" id="{2124D9CF-28FC-4488-B0C1-944C12528E80}"/>
            </a:ext>
          </a:extLst>
        </xdr:cNvPr>
        <xdr:cNvSpPr/>
      </xdr:nvSpPr>
      <xdr:spPr>
        <a:xfrm>
          <a:off x="10715625" y="21478875"/>
          <a:ext cx="114300" cy="247650"/>
        </a:xfrm>
        <a:prstGeom prst="chord">
          <a:avLst>
            <a:gd name="adj1" fmla="val 5335226"/>
            <a:gd name="adj2" fmla="val 16200000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19050</xdr:colOff>
      <xdr:row>119</xdr:row>
      <xdr:rowOff>47625</xdr:rowOff>
    </xdr:from>
    <xdr:to>
      <xdr:col>19</xdr:col>
      <xdr:colOff>457199</xdr:colOff>
      <xdr:row>120</xdr:row>
      <xdr:rowOff>0</xdr:rowOff>
    </xdr:to>
    <xdr:sp macro="" textlink="">
      <xdr:nvSpPr>
        <xdr:cNvPr id="101" name="Cuerda 100">
          <a:extLst>
            <a:ext uri="{FF2B5EF4-FFF2-40B4-BE49-F238E27FC236}">
              <a16:creationId xmlns:a16="http://schemas.microsoft.com/office/drawing/2014/main" id="{D797AF12-D06D-4E3D-87ED-9CB5974AC024}"/>
            </a:ext>
          </a:extLst>
        </xdr:cNvPr>
        <xdr:cNvSpPr/>
      </xdr:nvSpPr>
      <xdr:spPr>
        <a:xfrm>
          <a:off x="10782300" y="21421725"/>
          <a:ext cx="438149" cy="114300"/>
        </a:xfrm>
        <a:prstGeom prst="chord">
          <a:avLst>
            <a:gd name="adj1" fmla="val 10156632"/>
            <a:gd name="adj2" fmla="val 524770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756615</xdr:colOff>
      <xdr:row>114</xdr:row>
      <xdr:rowOff>0</xdr:rowOff>
    </xdr:from>
    <xdr:to>
      <xdr:col>19</xdr:col>
      <xdr:colOff>590551</xdr:colOff>
      <xdr:row>115</xdr:row>
      <xdr:rowOff>100000</xdr:rowOff>
    </xdr:to>
    <xdr:cxnSp macro="">
      <xdr:nvCxnSpPr>
        <xdr:cNvPr id="109" name="Conector recto de flecha 108">
          <a:extLst>
            <a:ext uri="{FF2B5EF4-FFF2-40B4-BE49-F238E27FC236}">
              <a16:creationId xmlns:a16="http://schemas.microsoft.com/office/drawing/2014/main" id="{D66B0F43-3BDF-4A29-AA7D-062BEDD0BAF5}"/>
            </a:ext>
          </a:extLst>
        </xdr:cNvPr>
        <xdr:cNvCxnSpPr>
          <a:endCxn id="99" idx="2"/>
        </xdr:cNvCxnSpPr>
      </xdr:nvCxnSpPr>
      <xdr:spPr>
        <a:xfrm flipH="1">
          <a:off x="10757865" y="19011900"/>
          <a:ext cx="595936" cy="261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219075</xdr:colOff>
      <xdr:row>113</xdr:row>
      <xdr:rowOff>133350</xdr:rowOff>
    </xdr:from>
    <xdr:to>
      <xdr:col>19</xdr:col>
      <xdr:colOff>590551</xdr:colOff>
      <xdr:row>116</xdr:row>
      <xdr:rowOff>28575</xdr:rowOff>
    </xdr:to>
    <xdr:cxnSp macro="">
      <xdr:nvCxnSpPr>
        <xdr:cNvPr id="113" name="Conector recto de flecha 112">
          <a:extLst>
            <a:ext uri="{FF2B5EF4-FFF2-40B4-BE49-F238E27FC236}">
              <a16:creationId xmlns:a16="http://schemas.microsoft.com/office/drawing/2014/main" id="{1DD4E0A6-B72B-4CE6-9303-E001A6DED47B}"/>
            </a:ext>
          </a:extLst>
        </xdr:cNvPr>
        <xdr:cNvCxnSpPr/>
      </xdr:nvCxnSpPr>
      <xdr:spPr>
        <a:xfrm flipH="1">
          <a:off x="10982325" y="18983325"/>
          <a:ext cx="371476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571500</xdr:colOff>
      <xdr:row>111</xdr:row>
      <xdr:rowOff>133350</xdr:rowOff>
    </xdr:from>
    <xdr:to>
      <xdr:col>21</xdr:col>
      <xdr:colOff>323850</xdr:colOff>
      <xdr:row>114</xdr:row>
      <xdr:rowOff>0</xdr:rowOff>
    </xdr:to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67BE33E2-28F7-468D-93DA-90DD5492A677}"/>
            </a:ext>
          </a:extLst>
        </xdr:cNvPr>
        <xdr:cNvSpPr txBox="1"/>
      </xdr:nvSpPr>
      <xdr:spPr>
        <a:xfrm>
          <a:off x="11334750" y="19564350"/>
          <a:ext cx="1276350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/>
            <a:t>Zona templada por induccion</a:t>
          </a:r>
        </a:p>
      </xdr:txBody>
    </xdr:sp>
    <xdr:clientData/>
  </xdr:twoCellAnchor>
  <xdr:twoCellAnchor>
    <xdr:from>
      <xdr:col>20</xdr:col>
      <xdr:colOff>123825</xdr:colOff>
      <xdr:row>117</xdr:row>
      <xdr:rowOff>76200</xdr:rowOff>
    </xdr:from>
    <xdr:to>
      <xdr:col>20</xdr:col>
      <xdr:colOff>466725</xdr:colOff>
      <xdr:row>118</xdr:row>
      <xdr:rowOff>104775</xdr:rowOff>
    </xdr:to>
    <xdr:sp macro="" textlink="">
      <xdr:nvSpPr>
        <xdr:cNvPr id="118" name="Rectángulo 117">
          <a:extLst>
            <a:ext uri="{FF2B5EF4-FFF2-40B4-BE49-F238E27FC236}">
              <a16:creationId xmlns:a16="http://schemas.microsoft.com/office/drawing/2014/main" id="{ED81DEA8-F3B6-4011-A846-5658177F5934}"/>
            </a:ext>
          </a:extLst>
        </xdr:cNvPr>
        <xdr:cNvSpPr/>
      </xdr:nvSpPr>
      <xdr:spPr>
        <a:xfrm>
          <a:off x="11649075" y="19573875"/>
          <a:ext cx="342900" cy="1905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219075</xdr:colOff>
      <xdr:row>291</xdr:row>
      <xdr:rowOff>0</xdr:rowOff>
    </xdr:from>
    <xdr:to>
      <xdr:col>16</xdr:col>
      <xdr:colOff>228600</xdr:colOff>
      <xdr:row>294</xdr:row>
      <xdr:rowOff>123825</xdr:rowOff>
    </xdr:to>
    <xdr:cxnSp macro="">
      <xdr:nvCxnSpPr>
        <xdr:cNvPr id="127" name="Conector recto de flecha 126">
          <a:extLst>
            <a:ext uri="{FF2B5EF4-FFF2-40B4-BE49-F238E27FC236}">
              <a16:creationId xmlns:a16="http://schemas.microsoft.com/office/drawing/2014/main" id="{1D5AE0CA-2A34-422D-B6B5-0D8F892EF89E}"/>
            </a:ext>
          </a:extLst>
        </xdr:cNvPr>
        <xdr:cNvCxnSpPr/>
      </xdr:nvCxnSpPr>
      <xdr:spPr>
        <a:xfrm flipH="1">
          <a:off x="10220325" y="48539400"/>
          <a:ext cx="9525" cy="6096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590550</xdr:colOff>
      <xdr:row>313</xdr:row>
      <xdr:rowOff>114300</xdr:rowOff>
    </xdr:from>
    <xdr:to>
      <xdr:col>16</xdr:col>
      <xdr:colOff>742950</xdr:colOff>
      <xdr:row>319</xdr:row>
      <xdr:rowOff>142875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D70A8DF2-FC75-4875-9D36-61899E649A43}"/>
            </a:ext>
          </a:extLst>
        </xdr:cNvPr>
        <xdr:cNvSpPr/>
      </xdr:nvSpPr>
      <xdr:spPr>
        <a:xfrm>
          <a:off x="10591800" y="56788050"/>
          <a:ext cx="152400" cy="1000125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742950</xdr:colOff>
      <xdr:row>315</xdr:row>
      <xdr:rowOff>76200</xdr:rowOff>
    </xdr:from>
    <xdr:to>
      <xdr:col>18</xdr:col>
      <xdr:colOff>381000</xdr:colOff>
      <xdr:row>318</xdr:row>
      <xdr:rowOff>38100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E74BF26-66CF-45B4-92BE-9935B2DD707F}"/>
            </a:ext>
          </a:extLst>
        </xdr:cNvPr>
        <xdr:cNvSpPr/>
      </xdr:nvSpPr>
      <xdr:spPr>
        <a:xfrm>
          <a:off x="10744200" y="57073800"/>
          <a:ext cx="1162050" cy="447675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9526</xdr:colOff>
      <xdr:row>313</xdr:row>
      <xdr:rowOff>114300</xdr:rowOff>
    </xdr:from>
    <xdr:to>
      <xdr:col>16</xdr:col>
      <xdr:colOff>590550</xdr:colOff>
      <xdr:row>313</xdr:row>
      <xdr:rowOff>114300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5687A87-EC8C-4AAE-A5F5-1096FBED52FB}"/>
            </a:ext>
          </a:extLst>
        </xdr:cNvPr>
        <xdr:cNvCxnSpPr/>
      </xdr:nvCxnSpPr>
      <xdr:spPr>
        <a:xfrm flipH="1">
          <a:off x="10010776" y="56788050"/>
          <a:ext cx="5810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38101</xdr:colOff>
      <xdr:row>319</xdr:row>
      <xdr:rowOff>142875</xdr:rowOff>
    </xdr:from>
    <xdr:to>
      <xdr:col>16</xdr:col>
      <xdr:colOff>600075</xdr:colOff>
      <xdr:row>319</xdr:row>
      <xdr:rowOff>142875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D6715736-CCDE-4C45-8260-BE656E27E960}"/>
            </a:ext>
          </a:extLst>
        </xdr:cNvPr>
        <xdr:cNvCxnSpPr/>
      </xdr:nvCxnSpPr>
      <xdr:spPr>
        <a:xfrm flipH="1">
          <a:off x="10039351" y="57788175"/>
          <a:ext cx="561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742950</xdr:colOff>
      <xdr:row>319</xdr:row>
      <xdr:rowOff>123825</xdr:rowOff>
    </xdr:from>
    <xdr:to>
      <xdr:col>16</xdr:col>
      <xdr:colOff>742950</xdr:colOff>
      <xdr:row>323</xdr:row>
      <xdr:rowOff>152400</xdr:rowOff>
    </xdr:to>
    <xdr:cxnSp macro="">
      <xdr:nvCxnSpPr>
        <xdr:cNvPr id="31" name="Conector recto 30">
          <a:extLst>
            <a:ext uri="{FF2B5EF4-FFF2-40B4-BE49-F238E27FC236}">
              <a16:creationId xmlns:a16="http://schemas.microsoft.com/office/drawing/2014/main" id="{809810AA-4ED6-479E-A15E-AAD89AA73E16}"/>
            </a:ext>
          </a:extLst>
        </xdr:cNvPr>
        <xdr:cNvCxnSpPr/>
      </xdr:nvCxnSpPr>
      <xdr:spPr>
        <a:xfrm flipV="1">
          <a:off x="10744200" y="57769125"/>
          <a:ext cx="0" cy="676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381000</xdr:colOff>
      <xdr:row>318</xdr:row>
      <xdr:rowOff>28575</xdr:rowOff>
    </xdr:from>
    <xdr:to>
      <xdr:col>18</xdr:col>
      <xdr:colOff>381000</xdr:colOff>
      <xdr:row>324</xdr:row>
      <xdr:rowOff>9525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8C56FF28-D7BF-4204-91D5-199319548257}"/>
            </a:ext>
          </a:extLst>
        </xdr:cNvPr>
        <xdr:cNvCxnSpPr/>
      </xdr:nvCxnSpPr>
      <xdr:spPr>
        <a:xfrm>
          <a:off x="11906250" y="57511950"/>
          <a:ext cx="0" cy="952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315</xdr:row>
      <xdr:rowOff>85725</xdr:rowOff>
    </xdr:from>
    <xdr:to>
      <xdr:col>19</xdr:col>
      <xdr:colOff>552450</xdr:colOff>
      <xdr:row>315</xdr:row>
      <xdr:rowOff>85725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C2AB9DC1-C179-4E9F-977A-945B03933147}"/>
            </a:ext>
          </a:extLst>
        </xdr:cNvPr>
        <xdr:cNvCxnSpPr/>
      </xdr:nvCxnSpPr>
      <xdr:spPr>
        <a:xfrm>
          <a:off x="11896725" y="57083325"/>
          <a:ext cx="942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371475</xdr:colOff>
      <xdr:row>318</xdr:row>
      <xdr:rowOff>38100</xdr:rowOff>
    </xdr:from>
    <xdr:to>
      <xdr:col>19</xdr:col>
      <xdr:colOff>581025</xdr:colOff>
      <xdr:row>318</xdr:row>
      <xdr:rowOff>38100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DE7FF9A9-700B-4AD1-8A05-EEDEF3985E7B}"/>
            </a:ext>
          </a:extLst>
        </xdr:cNvPr>
        <xdr:cNvCxnSpPr/>
      </xdr:nvCxnSpPr>
      <xdr:spPr>
        <a:xfrm flipH="1">
          <a:off x="11896725" y="57521475"/>
          <a:ext cx="971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313</xdr:row>
      <xdr:rowOff>152400</xdr:rowOff>
    </xdr:from>
    <xdr:to>
      <xdr:col>16</xdr:col>
      <xdr:colOff>38100</xdr:colOff>
      <xdr:row>319</xdr:row>
      <xdr:rowOff>95250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6AD7A0C4-3D41-47A6-A917-043C4E0B8479}"/>
            </a:ext>
          </a:extLst>
        </xdr:cNvPr>
        <xdr:cNvCxnSpPr/>
      </xdr:nvCxnSpPr>
      <xdr:spPr>
        <a:xfrm>
          <a:off x="7753350" y="64531875"/>
          <a:ext cx="0" cy="1143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323</xdr:row>
      <xdr:rowOff>142875</xdr:rowOff>
    </xdr:from>
    <xdr:to>
      <xdr:col>18</xdr:col>
      <xdr:colOff>333375</xdr:colOff>
      <xdr:row>323</xdr:row>
      <xdr:rowOff>142875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EC4B733F-5F65-4AC0-A0BC-9B3ADDA62066}"/>
            </a:ext>
          </a:extLst>
        </xdr:cNvPr>
        <xdr:cNvCxnSpPr/>
      </xdr:nvCxnSpPr>
      <xdr:spPr>
        <a:xfrm>
          <a:off x="10801350" y="58435875"/>
          <a:ext cx="10572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552450</xdr:colOff>
      <xdr:row>315</xdr:row>
      <xdr:rowOff>133350</xdr:rowOff>
    </xdr:from>
    <xdr:to>
      <xdr:col>19</xdr:col>
      <xdr:colOff>552450</xdr:colOff>
      <xdr:row>317</xdr:row>
      <xdr:rowOff>152400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671E091C-5EEA-4A07-B20F-5CF19A1D2BC0}"/>
            </a:ext>
          </a:extLst>
        </xdr:cNvPr>
        <xdr:cNvCxnSpPr/>
      </xdr:nvCxnSpPr>
      <xdr:spPr>
        <a:xfrm>
          <a:off x="12839700" y="57130950"/>
          <a:ext cx="0" cy="3429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352425</xdr:colOff>
      <xdr:row>315</xdr:row>
      <xdr:rowOff>76200</xdr:rowOff>
    </xdr:from>
    <xdr:to>
      <xdr:col>15</xdr:col>
      <xdr:colOff>712425</xdr:colOff>
      <xdr:row>317</xdr:row>
      <xdr:rowOff>112350</xdr:rowOff>
    </xdr:to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681EE2C6-1069-4518-B40F-F6B6739E8468}"/>
            </a:ext>
          </a:extLst>
        </xdr:cNvPr>
        <xdr:cNvSpPr txBox="1"/>
      </xdr:nvSpPr>
      <xdr:spPr>
        <a:xfrm>
          <a:off x="9591675" y="570738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19</xdr:col>
      <xdr:colOff>704850</xdr:colOff>
      <xdr:row>315</xdr:row>
      <xdr:rowOff>123825</xdr:rowOff>
    </xdr:from>
    <xdr:to>
      <xdr:col>20</xdr:col>
      <xdr:colOff>302850</xdr:colOff>
      <xdr:row>317</xdr:row>
      <xdr:rowOff>159975</xdr:rowOff>
    </xdr:to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C4DE9D88-9AFA-4D76-BFEF-EC22E23EDB38}"/>
            </a:ext>
          </a:extLst>
        </xdr:cNvPr>
        <xdr:cNvSpPr txBox="1"/>
      </xdr:nvSpPr>
      <xdr:spPr>
        <a:xfrm>
          <a:off x="12992100" y="571214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17</xdr:col>
      <xdr:colOff>409574</xdr:colOff>
      <xdr:row>324</xdr:row>
      <xdr:rowOff>76200</xdr:rowOff>
    </xdr:from>
    <xdr:to>
      <xdr:col>18</xdr:col>
      <xdr:colOff>7574</xdr:colOff>
      <xdr:row>326</xdr:row>
      <xdr:rowOff>112350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EA055159-D558-4DBF-A727-BC39D7700D28}"/>
            </a:ext>
          </a:extLst>
        </xdr:cNvPr>
        <xdr:cNvSpPr txBox="1"/>
      </xdr:nvSpPr>
      <xdr:spPr>
        <a:xfrm>
          <a:off x="11172824" y="585311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20</xdr:col>
      <xdr:colOff>214317</xdr:colOff>
      <xdr:row>89</xdr:row>
      <xdr:rowOff>85728</xdr:rowOff>
    </xdr:from>
    <xdr:to>
      <xdr:col>20</xdr:col>
      <xdr:colOff>409581</xdr:colOff>
      <xdr:row>90</xdr:row>
      <xdr:rowOff>80964</xdr:rowOff>
    </xdr:to>
    <xdr:sp macro="" textlink="">
      <xdr:nvSpPr>
        <xdr:cNvPr id="74" name="Triángulo isósceles 73">
          <a:extLst>
            <a:ext uri="{FF2B5EF4-FFF2-40B4-BE49-F238E27FC236}">
              <a16:creationId xmlns:a16="http://schemas.microsoft.com/office/drawing/2014/main" id="{EAC0C8A1-45DF-4B5C-A0B3-7BE7347F1884}"/>
            </a:ext>
          </a:extLst>
        </xdr:cNvPr>
        <xdr:cNvSpPr/>
      </xdr:nvSpPr>
      <xdr:spPr>
        <a:xfrm rot="16200000">
          <a:off x="11758618" y="14830427"/>
          <a:ext cx="157161" cy="195264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609600</xdr:colOff>
      <xdr:row>224</xdr:row>
      <xdr:rowOff>104775</xdr:rowOff>
    </xdr:from>
    <xdr:to>
      <xdr:col>18</xdr:col>
      <xdr:colOff>0</xdr:colOff>
      <xdr:row>230</xdr:row>
      <xdr:rowOff>152400</xdr:rowOff>
    </xdr:to>
    <xdr:sp macro="" textlink="">
      <xdr:nvSpPr>
        <xdr:cNvPr id="85" name="Rectángulo: esquinas redondeadas 84">
          <a:extLst>
            <a:ext uri="{FF2B5EF4-FFF2-40B4-BE49-F238E27FC236}">
              <a16:creationId xmlns:a16="http://schemas.microsoft.com/office/drawing/2014/main" id="{FF6A3F91-7B70-4604-A353-DDB6691D2DC5}"/>
            </a:ext>
          </a:extLst>
        </xdr:cNvPr>
        <xdr:cNvSpPr/>
      </xdr:nvSpPr>
      <xdr:spPr>
        <a:xfrm>
          <a:off x="10610850" y="41557575"/>
          <a:ext cx="152400" cy="1019175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9525</xdr:colOff>
      <xdr:row>226</xdr:row>
      <xdr:rowOff>38100</xdr:rowOff>
    </xdr:from>
    <xdr:to>
      <xdr:col>19</xdr:col>
      <xdr:colOff>533400</xdr:colOff>
      <xdr:row>229</xdr:row>
      <xdr:rowOff>47625</xdr:rowOff>
    </xdr:to>
    <xdr:sp macro="" textlink="">
      <xdr:nvSpPr>
        <xdr:cNvPr id="87" name="Rectángulo 86">
          <a:extLst>
            <a:ext uri="{FF2B5EF4-FFF2-40B4-BE49-F238E27FC236}">
              <a16:creationId xmlns:a16="http://schemas.microsoft.com/office/drawing/2014/main" id="{B739B727-AE77-4BF3-9A7F-A9E47B61822F}"/>
            </a:ext>
          </a:extLst>
        </xdr:cNvPr>
        <xdr:cNvSpPr/>
      </xdr:nvSpPr>
      <xdr:spPr>
        <a:xfrm>
          <a:off x="10772775" y="41814750"/>
          <a:ext cx="1285875" cy="495300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38100</xdr:colOff>
      <xdr:row>230</xdr:row>
      <xdr:rowOff>152400</xdr:rowOff>
    </xdr:from>
    <xdr:to>
      <xdr:col>17</xdr:col>
      <xdr:colOff>685800</xdr:colOff>
      <xdr:row>230</xdr:row>
      <xdr:rowOff>152400</xdr:rowOff>
    </xdr:to>
    <xdr:cxnSp macro="">
      <xdr:nvCxnSpPr>
        <xdr:cNvPr id="90" name="Conector recto 89">
          <a:extLst>
            <a:ext uri="{FF2B5EF4-FFF2-40B4-BE49-F238E27FC236}">
              <a16:creationId xmlns:a16="http://schemas.microsoft.com/office/drawing/2014/main" id="{F278EA72-EDB1-4744-B55E-0C9257DBA20E}"/>
            </a:ext>
          </a:extLst>
        </xdr:cNvPr>
        <xdr:cNvCxnSpPr>
          <a:stCxn id="85" idx="2"/>
        </xdr:cNvCxnSpPr>
      </xdr:nvCxnSpPr>
      <xdr:spPr>
        <a:xfrm flipH="1">
          <a:off x="10039350" y="42576750"/>
          <a:ext cx="647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28575</xdr:colOff>
      <xdr:row>224</xdr:row>
      <xdr:rowOff>104775</xdr:rowOff>
    </xdr:from>
    <xdr:to>
      <xdr:col>17</xdr:col>
      <xdr:colOff>685800</xdr:colOff>
      <xdr:row>224</xdr:row>
      <xdr:rowOff>114300</xdr:rowOff>
    </xdr:to>
    <xdr:cxnSp macro="">
      <xdr:nvCxnSpPr>
        <xdr:cNvPr id="98" name="Conector recto 97">
          <a:extLst>
            <a:ext uri="{FF2B5EF4-FFF2-40B4-BE49-F238E27FC236}">
              <a16:creationId xmlns:a16="http://schemas.microsoft.com/office/drawing/2014/main" id="{2CC62447-382A-479A-B14F-382DCE84918E}"/>
            </a:ext>
          </a:extLst>
        </xdr:cNvPr>
        <xdr:cNvCxnSpPr>
          <a:stCxn id="85" idx="0"/>
        </xdr:cNvCxnSpPr>
      </xdr:nvCxnSpPr>
      <xdr:spPr>
        <a:xfrm flipH="1">
          <a:off x="10029825" y="41557575"/>
          <a:ext cx="6572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230</xdr:row>
      <xdr:rowOff>133350</xdr:rowOff>
    </xdr:from>
    <xdr:to>
      <xdr:col>18</xdr:col>
      <xdr:colOff>1</xdr:colOff>
      <xdr:row>235</xdr:row>
      <xdr:rowOff>9525</xdr:rowOff>
    </xdr:to>
    <xdr:cxnSp macro="">
      <xdr:nvCxnSpPr>
        <xdr:cNvPr id="105" name="Conector recto 104">
          <a:extLst>
            <a:ext uri="{FF2B5EF4-FFF2-40B4-BE49-F238E27FC236}">
              <a16:creationId xmlns:a16="http://schemas.microsoft.com/office/drawing/2014/main" id="{AC669374-C6C8-41AE-ABC4-781CCFC6501A}"/>
            </a:ext>
          </a:extLst>
        </xdr:cNvPr>
        <xdr:cNvCxnSpPr/>
      </xdr:nvCxnSpPr>
      <xdr:spPr>
        <a:xfrm flipH="1">
          <a:off x="10763250" y="42557700"/>
          <a:ext cx="1" cy="685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533400</xdr:colOff>
      <xdr:row>229</xdr:row>
      <xdr:rowOff>47625</xdr:rowOff>
    </xdr:from>
    <xdr:to>
      <xdr:col>19</xdr:col>
      <xdr:colOff>542925</xdr:colOff>
      <xdr:row>235</xdr:row>
      <xdr:rowOff>9525</xdr:rowOff>
    </xdr:to>
    <xdr:cxnSp macro="">
      <xdr:nvCxnSpPr>
        <xdr:cNvPr id="116" name="Conector recto 115">
          <a:extLst>
            <a:ext uri="{FF2B5EF4-FFF2-40B4-BE49-F238E27FC236}">
              <a16:creationId xmlns:a16="http://schemas.microsoft.com/office/drawing/2014/main" id="{CDE5A788-3A44-4B2F-A15B-2F3D3CCDF13B}"/>
            </a:ext>
          </a:extLst>
        </xdr:cNvPr>
        <xdr:cNvCxnSpPr/>
      </xdr:nvCxnSpPr>
      <xdr:spPr>
        <a:xfrm>
          <a:off x="12058650" y="42310050"/>
          <a:ext cx="9525" cy="933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533400</xdr:colOff>
      <xdr:row>226</xdr:row>
      <xdr:rowOff>38100</xdr:rowOff>
    </xdr:from>
    <xdr:to>
      <xdr:col>20</xdr:col>
      <xdr:colOff>752475</xdr:colOff>
      <xdr:row>226</xdr:row>
      <xdr:rowOff>38100</xdr:rowOff>
    </xdr:to>
    <xdr:cxnSp macro="">
      <xdr:nvCxnSpPr>
        <xdr:cNvPr id="130" name="Conector recto 129">
          <a:extLst>
            <a:ext uri="{FF2B5EF4-FFF2-40B4-BE49-F238E27FC236}">
              <a16:creationId xmlns:a16="http://schemas.microsoft.com/office/drawing/2014/main" id="{9550F1D7-C219-4F62-BDFB-19B581ACFF66}"/>
            </a:ext>
          </a:extLst>
        </xdr:cNvPr>
        <xdr:cNvCxnSpPr/>
      </xdr:nvCxnSpPr>
      <xdr:spPr>
        <a:xfrm>
          <a:off x="12058650" y="41814750"/>
          <a:ext cx="981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523875</xdr:colOff>
      <xdr:row>229</xdr:row>
      <xdr:rowOff>28575</xdr:rowOff>
    </xdr:from>
    <xdr:to>
      <xdr:col>21</xdr:col>
      <xdr:colOff>0</xdr:colOff>
      <xdr:row>229</xdr:row>
      <xdr:rowOff>28575</xdr:rowOff>
    </xdr:to>
    <xdr:cxnSp macro="">
      <xdr:nvCxnSpPr>
        <xdr:cNvPr id="134" name="Conector recto 133">
          <a:extLst>
            <a:ext uri="{FF2B5EF4-FFF2-40B4-BE49-F238E27FC236}">
              <a16:creationId xmlns:a16="http://schemas.microsoft.com/office/drawing/2014/main" id="{FA009A9B-A0D7-4EE9-8AF0-A018EC8F75AE}"/>
            </a:ext>
          </a:extLst>
        </xdr:cNvPr>
        <xdr:cNvCxnSpPr/>
      </xdr:nvCxnSpPr>
      <xdr:spPr>
        <a:xfrm>
          <a:off x="12049125" y="42291000"/>
          <a:ext cx="1000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224</xdr:row>
      <xdr:rowOff>133350</xdr:rowOff>
    </xdr:from>
    <xdr:to>
      <xdr:col>17</xdr:col>
      <xdr:colOff>38100</xdr:colOff>
      <xdr:row>230</xdr:row>
      <xdr:rowOff>123825</xdr:rowOff>
    </xdr:to>
    <xdr:cxnSp macro="">
      <xdr:nvCxnSpPr>
        <xdr:cNvPr id="138" name="Conector recto de flecha 137">
          <a:extLst>
            <a:ext uri="{FF2B5EF4-FFF2-40B4-BE49-F238E27FC236}">
              <a16:creationId xmlns:a16="http://schemas.microsoft.com/office/drawing/2014/main" id="{8E0E0D7C-30A0-4C56-B146-8AB3D46415B2}"/>
            </a:ext>
          </a:extLst>
        </xdr:cNvPr>
        <xdr:cNvCxnSpPr/>
      </xdr:nvCxnSpPr>
      <xdr:spPr>
        <a:xfrm>
          <a:off x="10039350" y="41586150"/>
          <a:ext cx="0" cy="962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28575</xdr:colOff>
      <xdr:row>235</xdr:row>
      <xdr:rowOff>0</xdr:rowOff>
    </xdr:from>
    <xdr:to>
      <xdr:col>19</xdr:col>
      <xdr:colOff>523875</xdr:colOff>
      <xdr:row>235</xdr:row>
      <xdr:rowOff>0</xdr:rowOff>
    </xdr:to>
    <xdr:cxnSp macro="">
      <xdr:nvCxnSpPr>
        <xdr:cNvPr id="145" name="Conector recto de flecha 144">
          <a:extLst>
            <a:ext uri="{FF2B5EF4-FFF2-40B4-BE49-F238E27FC236}">
              <a16:creationId xmlns:a16="http://schemas.microsoft.com/office/drawing/2014/main" id="{9AA97337-12CD-45A6-B4CC-DFCA9C5D41C0}"/>
            </a:ext>
          </a:extLst>
        </xdr:cNvPr>
        <xdr:cNvCxnSpPr/>
      </xdr:nvCxnSpPr>
      <xdr:spPr>
        <a:xfrm>
          <a:off x="10029825" y="38642925"/>
          <a:ext cx="12573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752475</xdr:colOff>
      <xdr:row>226</xdr:row>
      <xdr:rowOff>76200</xdr:rowOff>
    </xdr:from>
    <xdr:to>
      <xdr:col>20</xdr:col>
      <xdr:colOff>752475</xdr:colOff>
      <xdr:row>229</xdr:row>
      <xdr:rowOff>0</xdr:rowOff>
    </xdr:to>
    <xdr:cxnSp macro="">
      <xdr:nvCxnSpPr>
        <xdr:cNvPr id="147" name="Conector recto de flecha 146">
          <a:extLst>
            <a:ext uri="{FF2B5EF4-FFF2-40B4-BE49-F238E27FC236}">
              <a16:creationId xmlns:a16="http://schemas.microsoft.com/office/drawing/2014/main" id="{17672E29-51ED-49C4-A3E8-380218F671DF}"/>
            </a:ext>
          </a:extLst>
        </xdr:cNvPr>
        <xdr:cNvCxnSpPr/>
      </xdr:nvCxnSpPr>
      <xdr:spPr>
        <a:xfrm>
          <a:off x="13039725" y="41852850"/>
          <a:ext cx="0" cy="4095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342900</xdr:colOff>
      <xdr:row>226</xdr:row>
      <xdr:rowOff>95250</xdr:rowOff>
    </xdr:from>
    <xdr:to>
      <xdr:col>16</xdr:col>
      <xdr:colOff>702900</xdr:colOff>
      <xdr:row>228</xdr:row>
      <xdr:rowOff>131400</xdr:rowOff>
    </xdr:to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1232DA24-764C-42CF-911B-A7CCB65FD9D4}"/>
            </a:ext>
          </a:extLst>
        </xdr:cNvPr>
        <xdr:cNvSpPr txBox="1"/>
      </xdr:nvSpPr>
      <xdr:spPr>
        <a:xfrm>
          <a:off x="9582150" y="418719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  <a:r>
            <a:rPr lang="es-AR" sz="1100"/>
            <a:t>	</a:t>
          </a:r>
        </a:p>
      </xdr:txBody>
    </xdr:sp>
    <xdr:clientData/>
  </xdr:twoCellAnchor>
  <xdr:twoCellAnchor>
    <xdr:from>
      <xdr:col>21</xdr:col>
      <xdr:colOff>142875</xdr:colOff>
      <xdr:row>226</xdr:row>
      <xdr:rowOff>95250</xdr:rowOff>
    </xdr:from>
    <xdr:to>
      <xdr:col>21</xdr:col>
      <xdr:colOff>502875</xdr:colOff>
      <xdr:row>228</xdr:row>
      <xdr:rowOff>131400</xdr:rowOff>
    </xdr:to>
    <xdr:sp macro="" textlink="">
      <xdr:nvSpPr>
        <xdr:cNvPr id="150" name="CuadroTexto 149">
          <a:extLst>
            <a:ext uri="{FF2B5EF4-FFF2-40B4-BE49-F238E27FC236}">
              <a16:creationId xmlns:a16="http://schemas.microsoft.com/office/drawing/2014/main" id="{40BB1CB8-4B6B-401C-960F-518A8CE08838}"/>
            </a:ext>
          </a:extLst>
        </xdr:cNvPr>
        <xdr:cNvSpPr txBox="1"/>
      </xdr:nvSpPr>
      <xdr:spPr>
        <a:xfrm>
          <a:off x="13192125" y="418719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18</xdr:col>
      <xdr:colOff>485775</xdr:colOff>
      <xdr:row>235</xdr:row>
      <xdr:rowOff>95250</xdr:rowOff>
    </xdr:from>
    <xdr:to>
      <xdr:col>19</xdr:col>
      <xdr:colOff>83775</xdr:colOff>
      <xdr:row>237</xdr:row>
      <xdr:rowOff>131400</xdr:rowOff>
    </xdr:to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7EEAC1F7-FA8A-49FE-BE62-6200C54D28CE}"/>
            </a:ext>
          </a:extLst>
        </xdr:cNvPr>
        <xdr:cNvSpPr txBox="1"/>
      </xdr:nvSpPr>
      <xdr:spPr>
        <a:xfrm>
          <a:off x="11249025" y="433292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19</xdr:col>
      <xdr:colOff>238125</xdr:colOff>
      <xdr:row>227</xdr:row>
      <xdr:rowOff>38099</xdr:rowOff>
    </xdr:from>
    <xdr:to>
      <xdr:col>19</xdr:col>
      <xdr:colOff>523875</xdr:colOff>
      <xdr:row>228</xdr:row>
      <xdr:rowOff>28575</xdr:rowOff>
    </xdr:to>
    <xdr:sp macro="" textlink="">
      <xdr:nvSpPr>
        <xdr:cNvPr id="154" name="Rectángulo 153">
          <a:extLst>
            <a:ext uri="{FF2B5EF4-FFF2-40B4-BE49-F238E27FC236}">
              <a16:creationId xmlns:a16="http://schemas.microsoft.com/office/drawing/2014/main" id="{FF950C12-2AE3-465A-BE7F-F18FCC7403A0}"/>
            </a:ext>
          </a:extLst>
        </xdr:cNvPr>
        <xdr:cNvSpPr/>
      </xdr:nvSpPr>
      <xdr:spPr>
        <a:xfrm>
          <a:off x="11763375" y="41976674"/>
          <a:ext cx="285750" cy="152401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352425</xdr:colOff>
      <xdr:row>222</xdr:row>
      <xdr:rowOff>38100</xdr:rowOff>
    </xdr:from>
    <xdr:to>
      <xdr:col>20</xdr:col>
      <xdr:colOff>19050</xdr:colOff>
      <xdr:row>227</xdr:row>
      <xdr:rowOff>28575</xdr:rowOff>
    </xdr:to>
    <xdr:cxnSp macro="">
      <xdr:nvCxnSpPr>
        <xdr:cNvPr id="164" name="Conector recto de flecha 163">
          <a:extLst>
            <a:ext uri="{FF2B5EF4-FFF2-40B4-BE49-F238E27FC236}">
              <a16:creationId xmlns:a16="http://schemas.microsoft.com/office/drawing/2014/main" id="{1B1918A1-8CC3-4D31-91EF-31D37FC74F46}"/>
            </a:ext>
          </a:extLst>
        </xdr:cNvPr>
        <xdr:cNvCxnSpPr/>
      </xdr:nvCxnSpPr>
      <xdr:spPr>
        <a:xfrm flipV="1">
          <a:off x="11877675" y="41167050"/>
          <a:ext cx="428625" cy="800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19050</xdr:colOff>
      <xdr:row>348</xdr:row>
      <xdr:rowOff>9525</xdr:rowOff>
    </xdr:from>
    <xdr:to>
      <xdr:col>17</xdr:col>
      <xdr:colOff>533400</xdr:colOff>
      <xdr:row>349</xdr:row>
      <xdr:rowOff>133350</xdr:rowOff>
    </xdr:to>
    <xdr:sp macro="" textlink="">
      <xdr:nvSpPr>
        <xdr:cNvPr id="165" name="Rectángulo 164">
          <a:extLst>
            <a:ext uri="{FF2B5EF4-FFF2-40B4-BE49-F238E27FC236}">
              <a16:creationId xmlns:a16="http://schemas.microsoft.com/office/drawing/2014/main" id="{E0D9805A-B185-42C3-8141-BC4F353E89C3}"/>
            </a:ext>
          </a:extLst>
        </xdr:cNvPr>
        <xdr:cNvSpPr/>
      </xdr:nvSpPr>
      <xdr:spPr>
        <a:xfrm>
          <a:off x="10020300" y="62188725"/>
          <a:ext cx="514350" cy="28575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476250</xdr:colOff>
      <xdr:row>347</xdr:row>
      <xdr:rowOff>9525</xdr:rowOff>
    </xdr:from>
    <xdr:to>
      <xdr:col>18</xdr:col>
      <xdr:colOff>409575</xdr:colOff>
      <xdr:row>351</xdr:row>
      <xdr:rowOff>0</xdr:rowOff>
    </xdr:to>
    <xdr:sp macro="" textlink="">
      <xdr:nvSpPr>
        <xdr:cNvPr id="166" name="Círculo: vacío 165">
          <a:extLst>
            <a:ext uri="{FF2B5EF4-FFF2-40B4-BE49-F238E27FC236}">
              <a16:creationId xmlns:a16="http://schemas.microsoft.com/office/drawing/2014/main" id="{64ECF507-1B37-4917-BFD5-CD0E35F2415C}"/>
            </a:ext>
          </a:extLst>
        </xdr:cNvPr>
        <xdr:cNvSpPr/>
      </xdr:nvSpPr>
      <xdr:spPr>
        <a:xfrm>
          <a:off x="10477500" y="62026800"/>
          <a:ext cx="695325" cy="638175"/>
        </a:xfrm>
        <a:prstGeom prst="donu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381000</xdr:colOff>
      <xdr:row>348</xdr:row>
      <xdr:rowOff>19050</xdr:rowOff>
    </xdr:from>
    <xdr:to>
      <xdr:col>18</xdr:col>
      <xdr:colOff>638175</xdr:colOff>
      <xdr:row>349</xdr:row>
      <xdr:rowOff>142875</xdr:rowOff>
    </xdr:to>
    <xdr:sp macro="" textlink="">
      <xdr:nvSpPr>
        <xdr:cNvPr id="168" name="Rectángulo 167">
          <a:extLst>
            <a:ext uri="{FF2B5EF4-FFF2-40B4-BE49-F238E27FC236}">
              <a16:creationId xmlns:a16="http://schemas.microsoft.com/office/drawing/2014/main" id="{43A3A227-EAA9-4CD3-85C8-0F58CBF2B4EA}"/>
            </a:ext>
          </a:extLst>
        </xdr:cNvPr>
        <xdr:cNvSpPr/>
      </xdr:nvSpPr>
      <xdr:spPr>
        <a:xfrm>
          <a:off x="11144250" y="62198250"/>
          <a:ext cx="257175" cy="28575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628650</xdr:colOff>
      <xdr:row>348</xdr:row>
      <xdr:rowOff>19050</xdr:rowOff>
    </xdr:from>
    <xdr:to>
      <xdr:col>20</xdr:col>
      <xdr:colOff>381000</xdr:colOff>
      <xdr:row>349</xdr:row>
      <xdr:rowOff>142875</xdr:rowOff>
    </xdr:to>
    <xdr:sp macro="" textlink="">
      <xdr:nvSpPr>
        <xdr:cNvPr id="171" name="Rectángulo 170">
          <a:extLst>
            <a:ext uri="{FF2B5EF4-FFF2-40B4-BE49-F238E27FC236}">
              <a16:creationId xmlns:a16="http://schemas.microsoft.com/office/drawing/2014/main" id="{A374F48B-25A4-46A2-B31E-54B01DEF148A}"/>
            </a:ext>
          </a:extLst>
        </xdr:cNvPr>
        <xdr:cNvSpPr/>
      </xdr:nvSpPr>
      <xdr:spPr>
        <a:xfrm>
          <a:off x="11391900" y="57988200"/>
          <a:ext cx="1276350" cy="285750"/>
        </a:xfrm>
        <a:prstGeom prst="rect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152399</xdr:colOff>
      <xdr:row>348</xdr:row>
      <xdr:rowOff>66674</xdr:rowOff>
    </xdr:from>
    <xdr:to>
      <xdr:col>16</xdr:col>
      <xdr:colOff>512399</xdr:colOff>
      <xdr:row>349</xdr:row>
      <xdr:rowOff>45674</xdr:rowOff>
    </xdr:to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978314B-1B5C-4ED5-BD65-7ED6CD40D140}"/>
            </a:ext>
          </a:extLst>
        </xdr:cNvPr>
        <xdr:cNvSpPr txBox="1"/>
      </xdr:nvSpPr>
      <xdr:spPr>
        <a:xfrm>
          <a:off x="7867649" y="71513699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16</xdr:col>
      <xdr:colOff>590550</xdr:colOff>
      <xdr:row>348</xdr:row>
      <xdr:rowOff>9525</xdr:rowOff>
    </xdr:from>
    <xdr:to>
      <xdr:col>17</xdr:col>
      <xdr:colOff>28577</xdr:colOff>
      <xdr:row>348</xdr:row>
      <xdr:rowOff>9525</xdr:rowOff>
    </xdr:to>
    <xdr:cxnSp macro="">
      <xdr:nvCxnSpPr>
        <xdr:cNvPr id="177" name="Conector recto 176">
          <a:extLst>
            <a:ext uri="{FF2B5EF4-FFF2-40B4-BE49-F238E27FC236}">
              <a16:creationId xmlns:a16="http://schemas.microsoft.com/office/drawing/2014/main" id="{274652DE-3CBF-483F-B687-41C82D4274BC}"/>
            </a:ext>
          </a:extLst>
        </xdr:cNvPr>
        <xdr:cNvCxnSpPr/>
      </xdr:nvCxnSpPr>
      <xdr:spPr>
        <a:xfrm flipH="1">
          <a:off x="9829800" y="62188725"/>
          <a:ext cx="20002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581025</xdr:colOff>
      <xdr:row>349</xdr:row>
      <xdr:rowOff>133350</xdr:rowOff>
    </xdr:from>
    <xdr:to>
      <xdr:col>17</xdr:col>
      <xdr:colOff>38100</xdr:colOff>
      <xdr:row>349</xdr:row>
      <xdr:rowOff>133350</xdr:rowOff>
    </xdr:to>
    <xdr:cxnSp macro="">
      <xdr:nvCxnSpPr>
        <xdr:cNvPr id="180" name="Conector recto 179">
          <a:extLst>
            <a:ext uri="{FF2B5EF4-FFF2-40B4-BE49-F238E27FC236}">
              <a16:creationId xmlns:a16="http://schemas.microsoft.com/office/drawing/2014/main" id="{1819D5F0-6A62-4141-87CF-E1927F9C8F21}"/>
            </a:ext>
          </a:extLst>
        </xdr:cNvPr>
        <xdr:cNvCxnSpPr/>
      </xdr:nvCxnSpPr>
      <xdr:spPr>
        <a:xfrm flipH="1">
          <a:off x="9820275" y="62474475"/>
          <a:ext cx="219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590550</xdr:colOff>
      <xdr:row>348</xdr:row>
      <xdr:rowOff>19050</xdr:rowOff>
    </xdr:from>
    <xdr:to>
      <xdr:col>16</xdr:col>
      <xdr:colOff>590550</xdr:colOff>
      <xdr:row>349</xdr:row>
      <xdr:rowOff>123825</xdr:rowOff>
    </xdr:to>
    <xdr:cxnSp macro="">
      <xdr:nvCxnSpPr>
        <xdr:cNvPr id="187" name="Conector recto de flecha 186">
          <a:extLst>
            <a:ext uri="{FF2B5EF4-FFF2-40B4-BE49-F238E27FC236}">
              <a16:creationId xmlns:a16="http://schemas.microsoft.com/office/drawing/2014/main" id="{3A66CE95-ED71-403F-9226-1857A494BBE7}"/>
            </a:ext>
          </a:extLst>
        </xdr:cNvPr>
        <xdr:cNvCxnSpPr/>
      </xdr:nvCxnSpPr>
      <xdr:spPr>
        <a:xfrm>
          <a:off x="9829800" y="62198250"/>
          <a:ext cx="0" cy="2667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28575</xdr:colOff>
      <xdr:row>346</xdr:row>
      <xdr:rowOff>9525</xdr:rowOff>
    </xdr:from>
    <xdr:to>
      <xdr:col>17</xdr:col>
      <xdr:colOff>28575</xdr:colOff>
      <xdr:row>348</xdr:row>
      <xdr:rowOff>4</xdr:rowOff>
    </xdr:to>
    <xdr:cxnSp macro="">
      <xdr:nvCxnSpPr>
        <xdr:cNvPr id="189" name="Conector recto 188">
          <a:extLst>
            <a:ext uri="{FF2B5EF4-FFF2-40B4-BE49-F238E27FC236}">
              <a16:creationId xmlns:a16="http://schemas.microsoft.com/office/drawing/2014/main" id="{80CC295D-836D-4941-85C5-5433D54CEDB1}"/>
            </a:ext>
          </a:extLst>
        </xdr:cNvPr>
        <xdr:cNvCxnSpPr/>
      </xdr:nvCxnSpPr>
      <xdr:spPr>
        <a:xfrm flipV="1">
          <a:off x="10029825" y="61864875"/>
          <a:ext cx="0" cy="3143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381000</xdr:colOff>
      <xdr:row>346</xdr:row>
      <xdr:rowOff>28575</xdr:rowOff>
    </xdr:from>
    <xdr:to>
      <xdr:col>20</xdr:col>
      <xdr:colOff>381001</xdr:colOff>
      <xdr:row>348</xdr:row>
      <xdr:rowOff>95710</xdr:rowOff>
    </xdr:to>
    <xdr:cxnSp macro="">
      <xdr:nvCxnSpPr>
        <xdr:cNvPr id="205" name="Conector recto 204">
          <a:extLst>
            <a:ext uri="{FF2B5EF4-FFF2-40B4-BE49-F238E27FC236}">
              <a16:creationId xmlns:a16="http://schemas.microsoft.com/office/drawing/2014/main" id="{E65100D7-64AD-42FA-97B7-AF5A0F688D3A}"/>
            </a:ext>
          </a:extLst>
        </xdr:cNvPr>
        <xdr:cNvCxnSpPr/>
      </xdr:nvCxnSpPr>
      <xdr:spPr>
        <a:xfrm flipH="1" flipV="1">
          <a:off x="12668250" y="57673875"/>
          <a:ext cx="1" cy="3909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346</xdr:row>
      <xdr:rowOff>0</xdr:rowOff>
    </xdr:from>
    <xdr:to>
      <xdr:col>20</xdr:col>
      <xdr:colOff>342900</xdr:colOff>
      <xdr:row>346</xdr:row>
      <xdr:rowOff>9525</xdr:rowOff>
    </xdr:to>
    <xdr:cxnSp macro="">
      <xdr:nvCxnSpPr>
        <xdr:cNvPr id="217" name="Conector recto de flecha 216">
          <a:extLst>
            <a:ext uri="{FF2B5EF4-FFF2-40B4-BE49-F238E27FC236}">
              <a16:creationId xmlns:a16="http://schemas.microsoft.com/office/drawing/2014/main" id="{6940ECBF-10F9-43A9-8806-0A1799B4ABB9}"/>
            </a:ext>
          </a:extLst>
        </xdr:cNvPr>
        <xdr:cNvCxnSpPr/>
      </xdr:nvCxnSpPr>
      <xdr:spPr>
        <a:xfrm>
          <a:off x="10067925" y="57645300"/>
          <a:ext cx="25622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476249</xdr:colOff>
      <xdr:row>343</xdr:row>
      <xdr:rowOff>38100</xdr:rowOff>
    </xdr:from>
    <xdr:to>
      <xdr:col>19</xdr:col>
      <xdr:colOff>74249</xdr:colOff>
      <xdr:row>345</xdr:row>
      <xdr:rowOff>64725</xdr:rowOff>
    </xdr:to>
    <xdr:sp macro="" textlink="">
      <xdr:nvSpPr>
        <xdr:cNvPr id="219" name="CuadroTexto 218">
          <a:extLst>
            <a:ext uri="{FF2B5EF4-FFF2-40B4-BE49-F238E27FC236}">
              <a16:creationId xmlns:a16="http://schemas.microsoft.com/office/drawing/2014/main" id="{753F74FD-E7B1-4D7A-B224-A8E4DC53D00E}"/>
            </a:ext>
          </a:extLst>
        </xdr:cNvPr>
        <xdr:cNvSpPr txBox="1"/>
      </xdr:nvSpPr>
      <xdr:spPr>
        <a:xfrm>
          <a:off x="9715499" y="70618350"/>
          <a:ext cx="360000" cy="398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19</xdr:col>
      <xdr:colOff>466725</xdr:colOff>
      <xdr:row>349</xdr:row>
      <xdr:rowOff>142875</xdr:rowOff>
    </xdr:from>
    <xdr:to>
      <xdr:col>19</xdr:col>
      <xdr:colOff>752475</xdr:colOff>
      <xdr:row>352</xdr:row>
      <xdr:rowOff>9525</xdr:rowOff>
    </xdr:to>
    <xdr:cxnSp macro="">
      <xdr:nvCxnSpPr>
        <xdr:cNvPr id="221" name="Conector recto de flecha 220">
          <a:extLst>
            <a:ext uri="{FF2B5EF4-FFF2-40B4-BE49-F238E27FC236}">
              <a16:creationId xmlns:a16="http://schemas.microsoft.com/office/drawing/2014/main" id="{3C93634B-B82E-4B83-88CA-66C7E42A593C}"/>
            </a:ext>
          </a:extLst>
        </xdr:cNvPr>
        <xdr:cNvCxnSpPr/>
      </xdr:nvCxnSpPr>
      <xdr:spPr>
        <a:xfrm>
          <a:off x="11991975" y="58273950"/>
          <a:ext cx="285750" cy="3524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85724</xdr:colOff>
      <xdr:row>355</xdr:row>
      <xdr:rowOff>104777</xdr:rowOff>
    </xdr:from>
    <xdr:to>
      <xdr:col>17</xdr:col>
      <xdr:colOff>247649</xdr:colOff>
      <xdr:row>359</xdr:row>
      <xdr:rowOff>57152</xdr:rowOff>
    </xdr:to>
    <xdr:sp macro="" textlink="">
      <xdr:nvSpPr>
        <xdr:cNvPr id="223" name="Rectángulo: esquinas superiores cortadas 222">
          <a:extLst>
            <a:ext uri="{FF2B5EF4-FFF2-40B4-BE49-F238E27FC236}">
              <a16:creationId xmlns:a16="http://schemas.microsoft.com/office/drawing/2014/main" id="{00AA0011-3DAD-4A5B-BE3A-FD086EF4C605}"/>
            </a:ext>
          </a:extLst>
        </xdr:cNvPr>
        <xdr:cNvSpPr/>
      </xdr:nvSpPr>
      <xdr:spPr>
        <a:xfrm rot="5400000">
          <a:off x="9867899" y="63636527"/>
          <a:ext cx="600075" cy="161925"/>
        </a:xfrm>
        <a:prstGeom prst="snip2Same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247650</xdr:colOff>
      <xdr:row>349</xdr:row>
      <xdr:rowOff>133350</xdr:rowOff>
    </xdr:from>
    <xdr:to>
      <xdr:col>17</xdr:col>
      <xdr:colOff>257175</xdr:colOff>
      <xdr:row>351</xdr:row>
      <xdr:rowOff>142875</xdr:rowOff>
    </xdr:to>
    <xdr:cxnSp macro="">
      <xdr:nvCxnSpPr>
        <xdr:cNvPr id="225" name="Conector recto de flecha 224">
          <a:extLst>
            <a:ext uri="{FF2B5EF4-FFF2-40B4-BE49-F238E27FC236}">
              <a16:creationId xmlns:a16="http://schemas.microsoft.com/office/drawing/2014/main" id="{F6EF97C0-B70C-4690-BC83-D668B16B3BDB}"/>
            </a:ext>
          </a:extLst>
        </xdr:cNvPr>
        <xdr:cNvCxnSpPr/>
      </xdr:nvCxnSpPr>
      <xdr:spPr>
        <a:xfrm>
          <a:off x="10248900" y="62474475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247650</xdr:colOff>
      <xdr:row>356</xdr:row>
      <xdr:rowOff>85725</xdr:rowOff>
    </xdr:from>
    <xdr:to>
      <xdr:col>17</xdr:col>
      <xdr:colOff>438150</xdr:colOff>
      <xdr:row>358</xdr:row>
      <xdr:rowOff>66675</xdr:rowOff>
    </xdr:to>
    <xdr:sp macro="" textlink="">
      <xdr:nvSpPr>
        <xdr:cNvPr id="226" name="Rectángulo 225">
          <a:extLst>
            <a:ext uri="{FF2B5EF4-FFF2-40B4-BE49-F238E27FC236}">
              <a16:creationId xmlns:a16="http://schemas.microsoft.com/office/drawing/2014/main" id="{F13B1C51-A16F-4D38-A597-643BCF9AC76B}"/>
            </a:ext>
          </a:extLst>
        </xdr:cNvPr>
        <xdr:cNvSpPr/>
      </xdr:nvSpPr>
      <xdr:spPr>
        <a:xfrm>
          <a:off x="10248900" y="63560325"/>
          <a:ext cx="190500" cy="3048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438150</xdr:colOff>
      <xdr:row>356</xdr:row>
      <xdr:rowOff>85725</xdr:rowOff>
    </xdr:from>
    <xdr:to>
      <xdr:col>19</xdr:col>
      <xdr:colOff>47625</xdr:colOff>
      <xdr:row>358</xdr:row>
      <xdr:rowOff>66675</xdr:rowOff>
    </xdr:to>
    <xdr:sp macro="" textlink="">
      <xdr:nvSpPr>
        <xdr:cNvPr id="227" name="Rectángulo 226">
          <a:extLst>
            <a:ext uri="{FF2B5EF4-FFF2-40B4-BE49-F238E27FC236}">
              <a16:creationId xmlns:a16="http://schemas.microsoft.com/office/drawing/2014/main" id="{D658A675-E789-43DD-8E9D-0624C5EF325D}"/>
            </a:ext>
          </a:extLst>
        </xdr:cNvPr>
        <xdr:cNvSpPr/>
      </xdr:nvSpPr>
      <xdr:spPr>
        <a:xfrm>
          <a:off x="10439400" y="59350275"/>
          <a:ext cx="1133475" cy="304800"/>
        </a:xfrm>
        <a:prstGeom prst="rect">
          <a:avLst/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85725</xdr:colOff>
      <xdr:row>359</xdr:row>
      <xdr:rowOff>9525</xdr:rowOff>
    </xdr:from>
    <xdr:to>
      <xdr:col>17</xdr:col>
      <xdr:colOff>85725</xdr:colOff>
      <xdr:row>361</xdr:row>
      <xdr:rowOff>76200</xdr:rowOff>
    </xdr:to>
    <xdr:cxnSp macro="">
      <xdr:nvCxnSpPr>
        <xdr:cNvPr id="230" name="Conector recto 229">
          <a:extLst>
            <a:ext uri="{FF2B5EF4-FFF2-40B4-BE49-F238E27FC236}">
              <a16:creationId xmlns:a16="http://schemas.microsoft.com/office/drawing/2014/main" id="{F2666398-8D9F-4EE2-9034-DD24BBF35427}"/>
            </a:ext>
          </a:extLst>
        </xdr:cNvPr>
        <xdr:cNvCxnSpPr/>
      </xdr:nvCxnSpPr>
      <xdr:spPr>
        <a:xfrm>
          <a:off x="8562975" y="73742550"/>
          <a:ext cx="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47625</xdr:colOff>
      <xdr:row>358</xdr:row>
      <xdr:rowOff>57150</xdr:rowOff>
    </xdr:from>
    <xdr:to>
      <xdr:col>19</xdr:col>
      <xdr:colOff>47625</xdr:colOff>
      <xdr:row>361</xdr:row>
      <xdr:rowOff>57150</xdr:rowOff>
    </xdr:to>
    <xdr:cxnSp macro="">
      <xdr:nvCxnSpPr>
        <xdr:cNvPr id="233" name="Conector recto 232">
          <a:extLst>
            <a:ext uri="{FF2B5EF4-FFF2-40B4-BE49-F238E27FC236}">
              <a16:creationId xmlns:a16="http://schemas.microsoft.com/office/drawing/2014/main" id="{1774F29C-A340-4663-9AEE-90CDA7967984}"/>
            </a:ext>
          </a:extLst>
        </xdr:cNvPr>
        <xdr:cNvCxnSpPr/>
      </xdr:nvCxnSpPr>
      <xdr:spPr>
        <a:xfrm>
          <a:off x="10048875" y="73599675"/>
          <a:ext cx="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361</xdr:row>
      <xdr:rowOff>66675</xdr:rowOff>
    </xdr:from>
    <xdr:to>
      <xdr:col>19</xdr:col>
      <xdr:colOff>28575</xdr:colOff>
      <xdr:row>361</xdr:row>
      <xdr:rowOff>66675</xdr:rowOff>
    </xdr:to>
    <xdr:cxnSp macro="">
      <xdr:nvCxnSpPr>
        <xdr:cNvPr id="238" name="Conector recto de flecha 237">
          <a:extLst>
            <a:ext uri="{FF2B5EF4-FFF2-40B4-BE49-F238E27FC236}">
              <a16:creationId xmlns:a16="http://schemas.microsoft.com/office/drawing/2014/main" id="{9DBC2254-F458-4E34-854F-D579EB5FE485}"/>
            </a:ext>
          </a:extLst>
        </xdr:cNvPr>
        <xdr:cNvCxnSpPr/>
      </xdr:nvCxnSpPr>
      <xdr:spPr>
        <a:xfrm>
          <a:off x="8572500" y="74161650"/>
          <a:ext cx="14573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704850</xdr:colOff>
      <xdr:row>361</xdr:row>
      <xdr:rowOff>152400</xdr:rowOff>
    </xdr:from>
    <xdr:to>
      <xdr:col>18</xdr:col>
      <xdr:colOff>302850</xdr:colOff>
      <xdr:row>364</xdr:row>
      <xdr:rowOff>17100</xdr:rowOff>
    </xdr:to>
    <xdr:sp macro="" textlink="">
      <xdr:nvSpPr>
        <xdr:cNvPr id="239" name="CuadroTexto 238">
          <a:extLst>
            <a:ext uri="{FF2B5EF4-FFF2-40B4-BE49-F238E27FC236}">
              <a16:creationId xmlns:a16="http://schemas.microsoft.com/office/drawing/2014/main" id="{62907105-632A-4400-88C5-12EE1D2375DE}"/>
            </a:ext>
          </a:extLst>
        </xdr:cNvPr>
        <xdr:cNvSpPr txBox="1"/>
      </xdr:nvSpPr>
      <xdr:spPr>
        <a:xfrm>
          <a:off x="9182100" y="7424737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18</xdr:col>
      <xdr:colOff>357188</xdr:colOff>
      <xdr:row>358</xdr:row>
      <xdr:rowOff>66675</xdr:rowOff>
    </xdr:from>
    <xdr:to>
      <xdr:col>18</xdr:col>
      <xdr:colOff>361950</xdr:colOff>
      <xdr:row>359</xdr:row>
      <xdr:rowOff>38100</xdr:rowOff>
    </xdr:to>
    <xdr:cxnSp macro="">
      <xdr:nvCxnSpPr>
        <xdr:cNvPr id="242" name="Conector recto de flecha 241">
          <a:extLst>
            <a:ext uri="{FF2B5EF4-FFF2-40B4-BE49-F238E27FC236}">
              <a16:creationId xmlns:a16="http://schemas.microsoft.com/office/drawing/2014/main" id="{DBA115DA-D100-48BD-86FE-8784C548BE7B}"/>
            </a:ext>
          </a:extLst>
        </xdr:cNvPr>
        <xdr:cNvCxnSpPr/>
      </xdr:nvCxnSpPr>
      <xdr:spPr>
        <a:xfrm>
          <a:off x="9596438" y="73609200"/>
          <a:ext cx="4762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52386</xdr:colOff>
      <xdr:row>357</xdr:row>
      <xdr:rowOff>83348</xdr:rowOff>
    </xdr:from>
    <xdr:to>
      <xdr:col>19</xdr:col>
      <xdr:colOff>752475</xdr:colOff>
      <xdr:row>357</xdr:row>
      <xdr:rowOff>85725</xdr:rowOff>
    </xdr:to>
    <xdr:cxnSp macro="">
      <xdr:nvCxnSpPr>
        <xdr:cNvPr id="246" name="Conector recto de flecha 245">
          <a:extLst>
            <a:ext uri="{FF2B5EF4-FFF2-40B4-BE49-F238E27FC236}">
              <a16:creationId xmlns:a16="http://schemas.microsoft.com/office/drawing/2014/main" id="{077D9CC1-82A6-4D32-A284-E44830AFBE39}"/>
            </a:ext>
          </a:extLst>
        </xdr:cNvPr>
        <xdr:cNvCxnSpPr>
          <a:cxnSpLocks/>
        </xdr:cNvCxnSpPr>
      </xdr:nvCxnSpPr>
      <xdr:spPr>
        <a:xfrm>
          <a:off x="11577636" y="59509823"/>
          <a:ext cx="700089" cy="237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361950</xdr:colOff>
      <xdr:row>376</xdr:row>
      <xdr:rowOff>152400</xdr:rowOff>
    </xdr:from>
    <xdr:to>
      <xdr:col>23</xdr:col>
      <xdr:colOff>133350</xdr:colOff>
      <xdr:row>382</xdr:row>
      <xdr:rowOff>104775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65FDC21B-1440-4BBC-A543-C91D1D09B2BC}"/>
            </a:ext>
          </a:extLst>
        </xdr:cNvPr>
        <xdr:cNvSpPr/>
      </xdr:nvSpPr>
      <xdr:spPr>
        <a:xfrm>
          <a:off x="12649200" y="67694175"/>
          <a:ext cx="1295400" cy="923925"/>
        </a:xfrm>
        <a:prstGeom prst="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23</xdr:col>
      <xdr:colOff>133353</xdr:colOff>
      <xdr:row>377</xdr:row>
      <xdr:rowOff>133350</xdr:rowOff>
    </xdr:from>
    <xdr:to>
      <xdr:col>24</xdr:col>
      <xdr:colOff>38103</xdr:colOff>
      <xdr:row>381</xdr:row>
      <xdr:rowOff>123825</xdr:rowOff>
    </xdr:to>
    <xdr:sp macro="" textlink="">
      <xdr:nvSpPr>
        <xdr:cNvPr id="23" name="Rectángulo: esquinas superiores redondeadas 22">
          <a:extLst>
            <a:ext uri="{FF2B5EF4-FFF2-40B4-BE49-F238E27FC236}">
              <a16:creationId xmlns:a16="http://schemas.microsoft.com/office/drawing/2014/main" id="{4EAEF760-80CB-4885-ABAD-4DA4F5D8A169}"/>
            </a:ext>
          </a:extLst>
        </xdr:cNvPr>
        <xdr:cNvSpPr/>
      </xdr:nvSpPr>
      <xdr:spPr>
        <a:xfrm rot="5400000">
          <a:off x="13958890" y="67822763"/>
          <a:ext cx="638175" cy="666750"/>
        </a:xfrm>
        <a:prstGeom prst="round2Same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466730</xdr:colOff>
      <xdr:row>377</xdr:row>
      <xdr:rowOff>123823</xdr:rowOff>
    </xdr:from>
    <xdr:to>
      <xdr:col>21</xdr:col>
      <xdr:colOff>371480</xdr:colOff>
      <xdr:row>381</xdr:row>
      <xdr:rowOff>114298</xdr:rowOff>
    </xdr:to>
    <xdr:sp macro="" textlink="">
      <xdr:nvSpPr>
        <xdr:cNvPr id="176" name="Rectángulo: esquinas superiores redondeadas 175">
          <a:extLst>
            <a:ext uri="{FF2B5EF4-FFF2-40B4-BE49-F238E27FC236}">
              <a16:creationId xmlns:a16="http://schemas.microsoft.com/office/drawing/2014/main" id="{C88AB6AA-9DCD-4E2D-8E90-D6C1A10E8B02}"/>
            </a:ext>
          </a:extLst>
        </xdr:cNvPr>
        <xdr:cNvSpPr/>
      </xdr:nvSpPr>
      <xdr:spPr>
        <a:xfrm rot="16200000">
          <a:off x="12006267" y="67813236"/>
          <a:ext cx="638175" cy="666750"/>
        </a:xfrm>
        <a:prstGeom prst="round2SameRect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514350</xdr:colOff>
      <xdr:row>377</xdr:row>
      <xdr:rowOff>152400</xdr:rowOff>
    </xdr:from>
    <xdr:to>
      <xdr:col>20</xdr:col>
      <xdr:colOff>514350</xdr:colOff>
      <xdr:row>381</xdr:row>
      <xdr:rowOff>95250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10AD792C-9345-421B-9A3A-93B9A98353C3}"/>
            </a:ext>
          </a:extLst>
        </xdr:cNvPr>
        <xdr:cNvCxnSpPr/>
      </xdr:nvCxnSpPr>
      <xdr:spPr>
        <a:xfrm>
          <a:off x="12039600" y="67856100"/>
          <a:ext cx="0" cy="5905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752475</xdr:colOff>
      <xdr:row>377</xdr:row>
      <xdr:rowOff>190500</xdr:rowOff>
    </xdr:from>
    <xdr:to>
      <xdr:col>24</xdr:col>
      <xdr:colOff>2</xdr:colOff>
      <xdr:row>381</xdr:row>
      <xdr:rowOff>95253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22D79FC-5C6B-4D6D-9D19-D250B620F7A0}"/>
            </a:ext>
          </a:extLst>
        </xdr:cNvPr>
        <xdr:cNvCxnSpPr/>
      </xdr:nvCxnSpPr>
      <xdr:spPr>
        <a:xfrm flipH="1" flipV="1">
          <a:off x="13801725" y="77676375"/>
          <a:ext cx="9527" cy="7048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485776</xdr:colOff>
      <xdr:row>378</xdr:row>
      <xdr:rowOff>142875</xdr:rowOff>
    </xdr:from>
    <xdr:to>
      <xdr:col>21</xdr:col>
      <xdr:colOff>28576</xdr:colOff>
      <xdr:row>380</xdr:row>
      <xdr:rowOff>76200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3148908F-DD85-4173-B6BA-E7AC320C0AC9}"/>
            </a:ext>
          </a:extLst>
        </xdr:cNvPr>
        <xdr:cNvSpPr/>
      </xdr:nvSpPr>
      <xdr:spPr>
        <a:xfrm>
          <a:off x="12011026" y="68008500"/>
          <a:ext cx="304800" cy="2571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23</xdr:col>
      <xdr:colOff>428624</xdr:colOff>
      <xdr:row>378</xdr:row>
      <xdr:rowOff>142875</xdr:rowOff>
    </xdr:from>
    <xdr:to>
      <xdr:col>23</xdr:col>
      <xdr:colOff>734624</xdr:colOff>
      <xdr:row>380</xdr:row>
      <xdr:rowOff>76200</xdr:rowOff>
    </xdr:to>
    <xdr:sp macro="" textlink="">
      <xdr:nvSpPr>
        <xdr:cNvPr id="178" name="Rectángulo 177">
          <a:extLst>
            <a:ext uri="{FF2B5EF4-FFF2-40B4-BE49-F238E27FC236}">
              <a16:creationId xmlns:a16="http://schemas.microsoft.com/office/drawing/2014/main" id="{D52646BB-23F5-40F4-A234-A28DD02B0A3B}"/>
            </a:ext>
          </a:extLst>
        </xdr:cNvPr>
        <xdr:cNvSpPr/>
      </xdr:nvSpPr>
      <xdr:spPr>
        <a:xfrm>
          <a:off x="14239874" y="68008500"/>
          <a:ext cx="306000" cy="2571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21</xdr:col>
      <xdr:colOff>34823</xdr:colOff>
      <xdr:row>378</xdr:row>
      <xdr:rowOff>155521</xdr:rowOff>
    </xdr:from>
    <xdr:to>
      <xdr:col>21</xdr:col>
      <xdr:colOff>262559</xdr:colOff>
      <xdr:row>380</xdr:row>
      <xdr:rowOff>66365</xdr:rowOff>
    </xdr:to>
    <xdr:sp macro="" textlink="">
      <xdr:nvSpPr>
        <xdr:cNvPr id="46" name="Triángulo isósceles 45">
          <a:extLst>
            <a:ext uri="{FF2B5EF4-FFF2-40B4-BE49-F238E27FC236}">
              <a16:creationId xmlns:a16="http://schemas.microsoft.com/office/drawing/2014/main" id="{5975B561-0E60-41E0-972C-A184CE208CE2}"/>
            </a:ext>
          </a:extLst>
        </xdr:cNvPr>
        <xdr:cNvSpPr/>
      </xdr:nvSpPr>
      <xdr:spPr>
        <a:xfrm rot="5400000">
          <a:off x="12318594" y="68024625"/>
          <a:ext cx="234694" cy="227736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23</xdr:col>
      <xdr:colOff>187223</xdr:colOff>
      <xdr:row>378</xdr:row>
      <xdr:rowOff>155521</xdr:rowOff>
    </xdr:from>
    <xdr:to>
      <xdr:col>23</xdr:col>
      <xdr:colOff>414959</xdr:colOff>
      <xdr:row>380</xdr:row>
      <xdr:rowOff>66365</xdr:rowOff>
    </xdr:to>
    <xdr:sp macro="" textlink="">
      <xdr:nvSpPr>
        <xdr:cNvPr id="181" name="Triángulo isósceles 180">
          <a:extLst>
            <a:ext uri="{FF2B5EF4-FFF2-40B4-BE49-F238E27FC236}">
              <a16:creationId xmlns:a16="http://schemas.microsoft.com/office/drawing/2014/main" id="{EF091C42-CD24-4279-A64F-489C2AFB2352}"/>
            </a:ext>
          </a:extLst>
        </xdr:cNvPr>
        <xdr:cNvSpPr/>
      </xdr:nvSpPr>
      <xdr:spPr>
        <a:xfrm rot="16200000">
          <a:off x="13994994" y="68024625"/>
          <a:ext cx="234694" cy="227736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485776</xdr:colOff>
      <xdr:row>379</xdr:row>
      <xdr:rowOff>109538</xdr:rowOff>
    </xdr:from>
    <xdr:to>
      <xdr:col>21</xdr:col>
      <xdr:colOff>262559</xdr:colOff>
      <xdr:row>379</xdr:row>
      <xdr:rowOff>110943</xdr:rowOff>
    </xdr:to>
    <xdr:cxnSp macro="">
      <xdr:nvCxnSpPr>
        <xdr:cNvPr id="53" name="Conector recto 52">
          <a:extLst>
            <a:ext uri="{FF2B5EF4-FFF2-40B4-BE49-F238E27FC236}">
              <a16:creationId xmlns:a16="http://schemas.microsoft.com/office/drawing/2014/main" id="{2178BBD9-BB34-4212-A4B7-F6F6B051310D}"/>
            </a:ext>
          </a:extLst>
        </xdr:cNvPr>
        <xdr:cNvCxnSpPr>
          <a:stCxn id="45" idx="1"/>
          <a:endCxn id="46" idx="0"/>
        </xdr:cNvCxnSpPr>
      </xdr:nvCxnSpPr>
      <xdr:spPr>
        <a:xfrm>
          <a:off x="12011026" y="68137088"/>
          <a:ext cx="538783" cy="1405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187223</xdr:colOff>
      <xdr:row>379</xdr:row>
      <xdr:rowOff>104775</xdr:rowOff>
    </xdr:from>
    <xdr:to>
      <xdr:col>23</xdr:col>
      <xdr:colOff>742950</xdr:colOff>
      <xdr:row>379</xdr:row>
      <xdr:rowOff>110943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8C11D7ED-FD9C-4CDD-A34D-42799D12BE3C}"/>
            </a:ext>
          </a:extLst>
        </xdr:cNvPr>
        <xdr:cNvCxnSpPr>
          <a:endCxn id="181" idx="0"/>
        </xdr:cNvCxnSpPr>
      </xdr:nvCxnSpPr>
      <xdr:spPr>
        <a:xfrm flipH="1">
          <a:off x="13998473" y="68132325"/>
          <a:ext cx="555727" cy="6168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419100</xdr:colOff>
      <xdr:row>378</xdr:row>
      <xdr:rowOff>152400</xdr:rowOff>
    </xdr:from>
    <xdr:to>
      <xdr:col>23</xdr:col>
      <xdr:colOff>419100</xdr:colOff>
      <xdr:row>380</xdr:row>
      <xdr:rowOff>85725</xdr:rowOff>
    </xdr:to>
    <xdr:cxnSp macro="">
      <xdr:nvCxnSpPr>
        <xdr:cNvPr id="79" name="Conector recto 78">
          <a:extLst>
            <a:ext uri="{FF2B5EF4-FFF2-40B4-BE49-F238E27FC236}">
              <a16:creationId xmlns:a16="http://schemas.microsoft.com/office/drawing/2014/main" id="{EE65930E-08AE-43B9-A09E-45F5EAD63643}"/>
            </a:ext>
          </a:extLst>
        </xdr:cNvPr>
        <xdr:cNvCxnSpPr/>
      </xdr:nvCxnSpPr>
      <xdr:spPr>
        <a:xfrm>
          <a:off x="14230350" y="68018025"/>
          <a:ext cx="0" cy="257175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123825</xdr:colOff>
      <xdr:row>378</xdr:row>
      <xdr:rowOff>157163</xdr:rowOff>
    </xdr:from>
    <xdr:to>
      <xdr:col>20</xdr:col>
      <xdr:colOff>495303</xdr:colOff>
      <xdr:row>378</xdr:row>
      <xdr:rowOff>161925</xdr:rowOff>
    </xdr:to>
    <xdr:cxnSp macro="">
      <xdr:nvCxnSpPr>
        <xdr:cNvPr id="111" name="Conector recto 110">
          <a:extLst>
            <a:ext uri="{FF2B5EF4-FFF2-40B4-BE49-F238E27FC236}">
              <a16:creationId xmlns:a16="http://schemas.microsoft.com/office/drawing/2014/main" id="{F4FE6438-3D40-4DAB-95E3-A65C58454A52}"/>
            </a:ext>
          </a:extLst>
        </xdr:cNvPr>
        <xdr:cNvCxnSpPr/>
      </xdr:nvCxnSpPr>
      <xdr:spPr>
        <a:xfrm flipH="1">
          <a:off x="10887075" y="77843063"/>
          <a:ext cx="371478" cy="47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123825</xdr:colOff>
      <xdr:row>380</xdr:row>
      <xdr:rowOff>61913</xdr:rowOff>
    </xdr:from>
    <xdr:to>
      <xdr:col>20</xdr:col>
      <xdr:colOff>476251</xdr:colOff>
      <xdr:row>380</xdr:row>
      <xdr:rowOff>66675</xdr:rowOff>
    </xdr:to>
    <xdr:cxnSp macro="">
      <xdr:nvCxnSpPr>
        <xdr:cNvPr id="193" name="Conector recto 192">
          <a:extLst>
            <a:ext uri="{FF2B5EF4-FFF2-40B4-BE49-F238E27FC236}">
              <a16:creationId xmlns:a16="http://schemas.microsoft.com/office/drawing/2014/main" id="{787DB2F7-4BEB-47E8-BF4F-5EC56D91F033}"/>
            </a:ext>
          </a:extLst>
        </xdr:cNvPr>
        <xdr:cNvCxnSpPr/>
      </xdr:nvCxnSpPr>
      <xdr:spPr>
        <a:xfrm flipH="1">
          <a:off x="11649075" y="68251388"/>
          <a:ext cx="352426" cy="47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142875</xdr:colOff>
      <xdr:row>378</xdr:row>
      <xdr:rowOff>190500</xdr:rowOff>
    </xdr:from>
    <xdr:to>
      <xdr:col>20</xdr:col>
      <xdr:colOff>142875</xdr:colOff>
      <xdr:row>380</xdr:row>
      <xdr:rowOff>47625</xdr:rowOff>
    </xdr:to>
    <xdr:cxnSp macro="">
      <xdr:nvCxnSpPr>
        <xdr:cNvPr id="120" name="Conector recto de flecha 119">
          <a:extLst>
            <a:ext uri="{FF2B5EF4-FFF2-40B4-BE49-F238E27FC236}">
              <a16:creationId xmlns:a16="http://schemas.microsoft.com/office/drawing/2014/main" id="{483A8CE3-C3BA-4A53-92E5-5211FCD94528}"/>
            </a:ext>
          </a:extLst>
        </xdr:cNvPr>
        <xdr:cNvCxnSpPr/>
      </xdr:nvCxnSpPr>
      <xdr:spPr>
        <a:xfrm>
          <a:off x="10906125" y="77876400"/>
          <a:ext cx="0" cy="2571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476251</xdr:colOff>
      <xdr:row>374</xdr:row>
      <xdr:rowOff>2</xdr:rowOff>
    </xdr:from>
    <xdr:to>
      <xdr:col>20</xdr:col>
      <xdr:colOff>485775</xdr:colOff>
      <xdr:row>377</xdr:row>
      <xdr:rowOff>180975</xdr:rowOff>
    </xdr:to>
    <xdr:cxnSp macro="">
      <xdr:nvCxnSpPr>
        <xdr:cNvPr id="136" name="Conector recto 135">
          <a:extLst>
            <a:ext uri="{FF2B5EF4-FFF2-40B4-BE49-F238E27FC236}">
              <a16:creationId xmlns:a16="http://schemas.microsoft.com/office/drawing/2014/main" id="{A05E4A8A-6035-4D19-9235-8D90AEA8DA5D}"/>
            </a:ext>
          </a:extLst>
        </xdr:cNvPr>
        <xdr:cNvCxnSpPr/>
      </xdr:nvCxnSpPr>
      <xdr:spPr>
        <a:xfrm flipH="1" flipV="1">
          <a:off x="11239501" y="76885802"/>
          <a:ext cx="9524" cy="78104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361950</xdr:colOff>
      <xdr:row>374</xdr:row>
      <xdr:rowOff>9525</xdr:rowOff>
    </xdr:from>
    <xdr:to>
      <xdr:col>21</xdr:col>
      <xdr:colOff>371475</xdr:colOff>
      <xdr:row>377</xdr:row>
      <xdr:rowOff>104776</xdr:rowOff>
    </xdr:to>
    <xdr:cxnSp macro="">
      <xdr:nvCxnSpPr>
        <xdr:cNvPr id="152" name="Conector recto 151">
          <a:extLst>
            <a:ext uri="{FF2B5EF4-FFF2-40B4-BE49-F238E27FC236}">
              <a16:creationId xmlns:a16="http://schemas.microsoft.com/office/drawing/2014/main" id="{BA815411-EF3C-4203-80BD-DC91E0EF61AF}"/>
            </a:ext>
          </a:extLst>
        </xdr:cNvPr>
        <xdr:cNvCxnSpPr/>
      </xdr:nvCxnSpPr>
      <xdr:spPr>
        <a:xfrm flipV="1">
          <a:off x="11887200" y="76895325"/>
          <a:ext cx="9525" cy="6953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514350</xdr:colOff>
      <xdr:row>374</xdr:row>
      <xdr:rowOff>9525</xdr:rowOff>
    </xdr:from>
    <xdr:to>
      <xdr:col>21</xdr:col>
      <xdr:colOff>323850</xdr:colOff>
      <xdr:row>374</xdr:row>
      <xdr:rowOff>9525</xdr:rowOff>
    </xdr:to>
    <xdr:cxnSp macro="">
      <xdr:nvCxnSpPr>
        <xdr:cNvPr id="191" name="Conector recto de flecha 190">
          <a:extLst>
            <a:ext uri="{FF2B5EF4-FFF2-40B4-BE49-F238E27FC236}">
              <a16:creationId xmlns:a16="http://schemas.microsoft.com/office/drawing/2014/main" id="{344D04BC-DE1B-4E3D-A5D4-FB0747447542}"/>
            </a:ext>
          </a:extLst>
        </xdr:cNvPr>
        <xdr:cNvCxnSpPr/>
      </xdr:nvCxnSpPr>
      <xdr:spPr>
        <a:xfrm>
          <a:off x="11277600" y="76895325"/>
          <a:ext cx="5715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600074</xdr:colOff>
      <xdr:row>371</xdr:row>
      <xdr:rowOff>19050</xdr:rowOff>
    </xdr:from>
    <xdr:to>
      <xdr:col>21</xdr:col>
      <xdr:colOff>198074</xdr:colOff>
      <xdr:row>373</xdr:row>
      <xdr:rowOff>36150</xdr:rowOff>
    </xdr:to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49107FB6-6609-483F-8F0B-217834F05B14}"/>
            </a:ext>
          </a:extLst>
        </xdr:cNvPr>
        <xdr:cNvSpPr txBox="1"/>
      </xdr:nvSpPr>
      <xdr:spPr>
        <a:xfrm>
          <a:off x="12125324" y="667321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23</xdr:col>
      <xdr:colOff>142875</xdr:colOff>
      <xdr:row>374</xdr:row>
      <xdr:rowOff>9526</xdr:rowOff>
    </xdr:from>
    <xdr:to>
      <xdr:col>23</xdr:col>
      <xdr:colOff>142876</xdr:colOff>
      <xdr:row>377</xdr:row>
      <xdr:rowOff>133350</xdr:rowOff>
    </xdr:to>
    <xdr:cxnSp macro="">
      <xdr:nvCxnSpPr>
        <xdr:cNvPr id="224" name="Conector recto 223">
          <a:extLst>
            <a:ext uri="{FF2B5EF4-FFF2-40B4-BE49-F238E27FC236}">
              <a16:creationId xmlns:a16="http://schemas.microsoft.com/office/drawing/2014/main" id="{B3C63E96-D64D-4336-ABEE-155F6F4A8CEF}"/>
            </a:ext>
          </a:extLst>
        </xdr:cNvPr>
        <xdr:cNvCxnSpPr/>
      </xdr:nvCxnSpPr>
      <xdr:spPr>
        <a:xfrm flipV="1">
          <a:off x="13954125" y="67227451"/>
          <a:ext cx="1" cy="609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409575</xdr:colOff>
      <xdr:row>374</xdr:row>
      <xdr:rowOff>9525</xdr:rowOff>
    </xdr:from>
    <xdr:to>
      <xdr:col>23</xdr:col>
      <xdr:colOff>66675</xdr:colOff>
      <xdr:row>374</xdr:row>
      <xdr:rowOff>9525</xdr:rowOff>
    </xdr:to>
    <xdr:cxnSp macro="">
      <xdr:nvCxnSpPr>
        <xdr:cNvPr id="209" name="Conector recto de flecha 208">
          <a:extLst>
            <a:ext uri="{FF2B5EF4-FFF2-40B4-BE49-F238E27FC236}">
              <a16:creationId xmlns:a16="http://schemas.microsoft.com/office/drawing/2014/main" id="{78004186-F056-470E-BE82-31661B8670AD}"/>
            </a:ext>
          </a:extLst>
        </xdr:cNvPr>
        <xdr:cNvCxnSpPr/>
      </xdr:nvCxnSpPr>
      <xdr:spPr>
        <a:xfrm>
          <a:off x="12696825" y="67227450"/>
          <a:ext cx="11811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95250</xdr:colOff>
      <xdr:row>371</xdr:row>
      <xdr:rowOff>28575</xdr:rowOff>
    </xdr:from>
    <xdr:to>
      <xdr:col>22</xdr:col>
      <xdr:colOff>455250</xdr:colOff>
      <xdr:row>373</xdr:row>
      <xdr:rowOff>45675</xdr:rowOff>
    </xdr:to>
    <xdr:sp macro="" textlink="">
      <xdr:nvSpPr>
        <xdr:cNvPr id="212" name="CuadroTexto 211">
          <a:extLst>
            <a:ext uri="{FF2B5EF4-FFF2-40B4-BE49-F238E27FC236}">
              <a16:creationId xmlns:a16="http://schemas.microsoft.com/office/drawing/2014/main" id="{369414B3-5334-4F2A-AA15-A4689C06C33D}"/>
            </a:ext>
          </a:extLst>
        </xdr:cNvPr>
        <xdr:cNvSpPr txBox="1"/>
      </xdr:nvSpPr>
      <xdr:spPr>
        <a:xfrm>
          <a:off x="13144500" y="6674167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24</xdr:col>
      <xdr:colOff>28575</xdr:colOff>
      <xdr:row>374</xdr:row>
      <xdr:rowOff>0</xdr:rowOff>
    </xdr:from>
    <xdr:to>
      <xdr:col>24</xdr:col>
      <xdr:colOff>28577</xdr:colOff>
      <xdr:row>378</xdr:row>
      <xdr:rowOff>38103</xdr:rowOff>
    </xdr:to>
    <xdr:cxnSp macro="">
      <xdr:nvCxnSpPr>
        <xdr:cNvPr id="229" name="Conector recto 228">
          <a:extLst>
            <a:ext uri="{FF2B5EF4-FFF2-40B4-BE49-F238E27FC236}">
              <a16:creationId xmlns:a16="http://schemas.microsoft.com/office/drawing/2014/main" id="{EA196A9A-4678-4043-B615-597513B2535E}"/>
            </a:ext>
          </a:extLst>
        </xdr:cNvPr>
        <xdr:cNvCxnSpPr/>
      </xdr:nvCxnSpPr>
      <xdr:spPr>
        <a:xfrm flipH="1" flipV="1">
          <a:off x="14601825" y="67217925"/>
          <a:ext cx="2" cy="6858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190500</xdr:colOff>
      <xdr:row>374</xdr:row>
      <xdr:rowOff>9525</xdr:rowOff>
    </xdr:from>
    <xdr:to>
      <xdr:col>23</xdr:col>
      <xdr:colOff>723900</xdr:colOff>
      <xdr:row>374</xdr:row>
      <xdr:rowOff>9525</xdr:rowOff>
    </xdr:to>
    <xdr:cxnSp macro="">
      <xdr:nvCxnSpPr>
        <xdr:cNvPr id="214" name="Conector recto de flecha 213">
          <a:extLst>
            <a:ext uri="{FF2B5EF4-FFF2-40B4-BE49-F238E27FC236}">
              <a16:creationId xmlns:a16="http://schemas.microsoft.com/office/drawing/2014/main" id="{EB559CD0-3F50-4A89-AF4E-279D861D760A}"/>
            </a:ext>
          </a:extLst>
        </xdr:cNvPr>
        <xdr:cNvCxnSpPr/>
      </xdr:nvCxnSpPr>
      <xdr:spPr>
        <a:xfrm>
          <a:off x="14001750" y="67227450"/>
          <a:ext cx="53340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285750</xdr:colOff>
      <xdr:row>371</xdr:row>
      <xdr:rowOff>47624</xdr:rowOff>
    </xdr:from>
    <xdr:to>
      <xdr:col>23</xdr:col>
      <xdr:colOff>645750</xdr:colOff>
      <xdr:row>373</xdr:row>
      <xdr:rowOff>64724</xdr:rowOff>
    </xdr:to>
    <xdr:sp macro="" textlink="">
      <xdr:nvSpPr>
        <xdr:cNvPr id="231" name="CuadroTexto 230">
          <a:extLst>
            <a:ext uri="{FF2B5EF4-FFF2-40B4-BE49-F238E27FC236}">
              <a16:creationId xmlns:a16="http://schemas.microsoft.com/office/drawing/2014/main" id="{38332409-DBD8-4565-9C2F-2EF613147699}"/>
            </a:ext>
          </a:extLst>
        </xdr:cNvPr>
        <xdr:cNvSpPr txBox="1"/>
      </xdr:nvSpPr>
      <xdr:spPr>
        <a:xfrm>
          <a:off x="14097000" y="66760724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23</xdr:col>
      <xdr:colOff>133350</xdr:colOff>
      <xdr:row>382</xdr:row>
      <xdr:rowOff>104775</xdr:rowOff>
    </xdr:from>
    <xdr:to>
      <xdr:col>26</xdr:col>
      <xdr:colOff>514350</xdr:colOff>
      <xdr:row>382</xdr:row>
      <xdr:rowOff>114300</xdr:rowOff>
    </xdr:to>
    <xdr:cxnSp macro="">
      <xdr:nvCxnSpPr>
        <xdr:cNvPr id="234" name="Conector recto 233">
          <a:extLst>
            <a:ext uri="{FF2B5EF4-FFF2-40B4-BE49-F238E27FC236}">
              <a16:creationId xmlns:a16="http://schemas.microsoft.com/office/drawing/2014/main" id="{4441E7D5-FEB1-4D2F-9C7B-7E8B24A2078F}"/>
            </a:ext>
          </a:extLst>
        </xdr:cNvPr>
        <xdr:cNvCxnSpPr/>
      </xdr:nvCxnSpPr>
      <xdr:spPr>
        <a:xfrm>
          <a:off x="13944600" y="68618100"/>
          <a:ext cx="26670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152400</xdr:colOff>
      <xdr:row>377</xdr:row>
      <xdr:rowOff>9525</xdr:rowOff>
    </xdr:from>
    <xdr:to>
      <xdr:col>26</xdr:col>
      <xdr:colOff>495300</xdr:colOff>
      <xdr:row>377</xdr:row>
      <xdr:rowOff>9525</xdr:rowOff>
    </xdr:to>
    <xdr:cxnSp macro="">
      <xdr:nvCxnSpPr>
        <xdr:cNvPr id="240" name="Conector recto 239">
          <a:extLst>
            <a:ext uri="{FF2B5EF4-FFF2-40B4-BE49-F238E27FC236}">
              <a16:creationId xmlns:a16="http://schemas.microsoft.com/office/drawing/2014/main" id="{0964CFCB-A6AD-42CE-81FA-8DA92C5021A3}"/>
            </a:ext>
          </a:extLst>
        </xdr:cNvPr>
        <xdr:cNvCxnSpPr/>
      </xdr:nvCxnSpPr>
      <xdr:spPr>
        <a:xfrm>
          <a:off x="13963650" y="67713225"/>
          <a:ext cx="2628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495300</xdr:colOff>
      <xdr:row>377</xdr:row>
      <xdr:rowOff>47625</xdr:rowOff>
    </xdr:from>
    <xdr:to>
      <xdr:col>26</xdr:col>
      <xdr:colOff>495300</xdr:colOff>
      <xdr:row>382</xdr:row>
      <xdr:rowOff>95250</xdr:rowOff>
    </xdr:to>
    <xdr:cxnSp macro="">
      <xdr:nvCxnSpPr>
        <xdr:cNvPr id="237" name="Conector recto de flecha 236">
          <a:extLst>
            <a:ext uri="{FF2B5EF4-FFF2-40B4-BE49-F238E27FC236}">
              <a16:creationId xmlns:a16="http://schemas.microsoft.com/office/drawing/2014/main" id="{D2895BFE-CD5E-4715-9F6B-F0616127BA2A}"/>
            </a:ext>
          </a:extLst>
        </xdr:cNvPr>
        <xdr:cNvCxnSpPr/>
      </xdr:nvCxnSpPr>
      <xdr:spPr>
        <a:xfrm>
          <a:off x="16592550" y="67751325"/>
          <a:ext cx="0" cy="8572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571500</xdr:colOff>
      <xdr:row>378</xdr:row>
      <xdr:rowOff>114300</xdr:rowOff>
    </xdr:from>
    <xdr:to>
      <xdr:col>27</xdr:col>
      <xdr:colOff>169500</xdr:colOff>
      <xdr:row>380</xdr:row>
      <xdr:rowOff>150450</xdr:rowOff>
    </xdr:to>
    <xdr:sp macro="" textlink="">
      <xdr:nvSpPr>
        <xdr:cNvPr id="243" name="CuadroTexto 242">
          <a:extLst>
            <a:ext uri="{FF2B5EF4-FFF2-40B4-BE49-F238E27FC236}">
              <a16:creationId xmlns:a16="http://schemas.microsoft.com/office/drawing/2014/main" id="{F3135674-6EEF-4D28-9F0D-1543941E159F}"/>
            </a:ext>
          </a:extLst>
        </xdr:cNvPr>
        <xdr:cNvSpPr txBox="1"/>
      </xdr:nvSpPr>
      <xdr:spPr>
        <a:xfrm>
          <a:off x="16668750" y="629983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D</a:t>
          </a:r>
        </a:p>
      </xdr:txBody>
    </xdr:sp>
    <xdr:clientData/>
  </xdr:twoCellAnchor>
  <xdr:twoCellAnchor>
    <xdr:from>
      <xdr:col>24</xdr:col>
      <xdr:colOff>9525</xdr:colOff>
      <xdr:row>381</xdr:row>
      <xdr:rowOff>104775</xdr:rowOff>
    </xdr:from>
    <xdr:to>
      <xdr:col>25</xdr:col>
      <xdr:colOff>47625</xdr:colOff>
      <xdr:row>381</xdr:row>
      <xdr:rowOff>104775</xdr:rowOff>
    </xdr:to>
    <xdr:cxnSp macro="">
      <xdr:nvCxnSpPr>
        <xdr:cNvPr id="248" name="Conector recto 247">
          <a:extLst>
            <a:ext uri="{FF2B5EF4-FFF2-40B4-BE49-F238E27FC236}">
              <a16:creationId xmlns:a16="http://schemas.microsoft.com/office/drawing/2014/main" id="{47C0E8D4-4181-4ABE-BDD3-2CFC53D63143}"/>
            </a:ext>
          </a:extLst>
        </xdr:cNvPr>
        <xdr:cNvCxnSpPr/>
      </xdr:nvCxnSpPr>
      <xdr:spPr>
        <a:xfrm>
          <a:off x="13820775" y="78390750"/>
          <a:ext cx="800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38100</xdr:colOff>
      <xdr:row>378</xdr:row>
      <xdr:rowOff>0</xdr:rowOff>
    </xdr:from>
    <xdr:to>
      <xdr:col>25</xdr:col>
      <xdr:colOff>38100</xdr:colOff>
      <xdr:row>378</xdr:row>
      <xdr:rowOff>9525</xdr:rowOff>
    </xdr:to>
    <xdr:cxnSp macro="">
      <xdr:nvCxnSpPr>
        <xdr:cNvPr id="249" name="Conector recto 248">
          <a:extLst>
            <a:ext uri="{FF2B5EF4-FFF2-40B4-BE49-F238E27FC236}">
              <a16:creationId xmlns:a16="http://schemas.microsoft.com/office/drawing/2014/main" id="{F9F1BD74-0F97-4D84-87D6-F8AF186BAFF1}"/>
            </a:ext>
          </a:extLst>
        </xdr:cNvPr>
        <xdr:cNvCxnSpPr/>
      </xdr:nvCxnSpPr>
      <xdr:spPr>
        <a:xfrm flipV="1">
          <a:off x="13849350" y="77685900"/>
          <a:ext cx="7620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66675</xdr:colOff>
      <xdr:row>378</xdr:row>
      <xdr:rowOff>47625</xdr:rowOff>
    </xdr:from>
    <xdr:to>
      <xdr:col>25</xdr:col>
      <xdr:colOff>66675</xdr:colOff>
      <xdr:row>381</xdr:row>
      <xdr:rowOff>76200</xdr:rowOff>
    </xdr:to>
    <xdr:cxnSp macro="">
      <xdr:nvCxnSpPr>
        <xdr:cNvPr id="251" name="Conector recto de flecha 250">
          <a:extLst>
            <a:ext uri="{FF2B5EF4-FFF2-40B4-BE49-F238E27FC236}">
              <a16:creationId xmlns:a16="http://schemas.microsoft.com/office/drawing/2014/main" id="{78CBDBB7-7F4E-4736-BBBA-E9FEA318BDF8}"/>
            </a:ext>
          </a:extLst>
        </xdr:cNvPr>
        <xdr:cNvCxnSpPr/>
      </xdr:nvCxnSpPr>
      <xdr:spPr>
        <a:xfrm>
          <a:off x="15401925" y="67913250"/>
          <a:ext cx="0" cy="514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180975</xdr:colOff>
      <xdr:row>378</xdr:row>
      <xdr:rowOff>104775</xdr:rowOff>
    </xdr:from>
    <xdr:to>
      <xdr:col>25</xdr:col>
      <xdr:colOff>540975</xdr:colOff>
      <xdr:row>380</xdr:row>
      <xdr:rowOff>140925</xdr:rowOff>
    </xdr:to>
    <xdr:sp macro="" textlink="">
      <xdr:nvSpPr>
        <xdr:cNvPr id="254" name="CuadroTexto 253">
          <a:extLst>
            <a:ext uri="{FF2B5EF4-FFF2-40B4-BE49-F238E27FC236}">
              <a16:creationId xmlns:a16="http://schemas.microsoft.com/office/drawing/2014/main" id="{28952C5A-1761-4749-AF4D-4813B8CC6BF8}"/>
            </a:ext>
          </a:extLst>
        </xdr:cNvPr>
        <xdr:cNvSpPr txBox="1"/>
      </xdr:nvSpPr>
      <xdr:spPr>
        <a:xfrm>
          <a:off x="15516225" y="679704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E</a:t>
          </a:r>
        </a:p>
      </xdr:txBody>
    </xdr:sp>
    <xdr:clientData/>
  </xdr:twoCellAnchor>
  <xdr:twoCellAnchor>
    <xdr:from>
      <xdr:col>10</xdr:col>
      <xdr:colOff>523876</xdr:colOff>
      <xdr:row>453</xdr:row>
      <xdr:rowOff>95250</xdr:rowOff>
    </xdr:from>
    <xdr:to>
      <xdr:col>12</xdr:col>
      <xdr:colOff>428626</xdr:colOff>
      <xdr:row>457</xdr:row>
      <xdr:rowOff>152400</xdr:rowOff>
    </xdr:to>
    <xdr:sp macro="" textlink="">
      <xdr:nvSpPr>
        <xdr:cNvPr id="255" name="Diagrama de flujo: disco magnético 254">
          <a:extLst>
            <a:ext uri="{FF2B5EF4-FFF2-40B4-BE49-F238E27FC236}">
              <a16:creationId xmlns:a16="http://schemas.microsoft.com/office/drawing/2014/main" id="{42F586F3-0ED7-4DD2-AADE-5B062268420F}"/>
            </a:ext>
          </a:extLst>
        </xdr:cNvPr>
        <xdr:cNvSpPr/>
      </xdr:nvSpPr>
      <xdr:spPr>
        <a:xfrm>
          <a:off x="10525126" y="78705075"/>
          <a:ext cx="1428750" cy="704850"/>
        </a:xfrm>
        <a:prstGeom prst="flowChartMagneticDisk">
          <a:avLst/>
        </a:prstGeom>
        <a:solidFill>
          <a:schemeClr val="accent5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114300</xdr:colOff>
      <xdr:row>453</xdr:row>
      <xdr:rowOff>152400</xdr:rowOff>
    </xdr:from>
    <xdr:to>
      <xdr:col>12</xdr:col>
      <xdr:colOff>76200</xdr:colOff>
      <xdr:row>454</xdr:row>
      <xdr:rowOff>123825</xdr:rowOff>
    </xdr:to>
    <xdr:sp macro="" textlink="">
      <xdr:nvSpPr>
        <xdr:cNvPr id="256" name="Elipse 255">
          <a:extLst>
            <a:ext uri="{FF2B5EF4-FFF2-40B4-BE49-F238E27FC236}">
              <a16:creationId xmlns:a16="http://schemas.microsoft.com/office/drawing/2014/main" id="{450C91F6-1D39-45D8-A358-DA65AC76EF3B}"/>
            </a:ext>
          </a:extLst>
        </xdr:cNvPr>
        <xdr:cNvSpPr/>
      </xdr:nvSpPr>
      <xdr:spPr>
        <a:xfrm>
          <a:off x="6305550" y="78762225"/>
          <a:ext cx="723900" cy="133350"/>
        </a:xfrm>
        <a:prstGeom prst="ellips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647701</xdr:colOff>
      <xdr:row>463</xdr:row>
      <xdr:rowOff>66675</xdr:rowOff>
    </xdr:from>
    <xdr:to>
      <xdr:col>19</xdr:col>
      <xdr:colOff>0</xdr:colOff>
      <xdr:row>473</xdr:row>
      <xdr:rowOff>95250</xdr:rowOff>
    </xdr:to>
    <xdr:sp macro="" textlink="">
      <xdr:nvSpPr>
        <xdr:cNvPr id="257" name="Rectángulo 256">
          <a:extLst>
            <a:ext uri="{FF2B5EF4-FFF2-40B4-BE49-F238E27FC236}">
              <a16:creationId xmlns:a16="http://schemas.microsoft.com/office/drawing/2014/main" id="{4EABD9D8-477B-4E62-AA8D-AAB597F516E5}"/>
            </a:ext>
          </a:extLst>
        </xdr:cNvPr>
        <xdr:cNvSpPr/>
      </xdr:nvSpPr>
      <xdr:spPr>
        <a:xfrm>
          <a:off x="9886951" y="94040325"/>
          <a:ext cx="114299" cy="2066925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0</xdr:colOff>
      <xdr:row>465</xdr:row>
      <xdr:rowOff>142875</xdr:rowOff>
    </xdr:from>
    <xdr:to>
      <xdr:col>20</xdr:col>
      <xdr:colOff>0</xdr:colOff>
      <xdr:row>471</xdr:row>
      <xdr:rowOff>28575</xdr:rowOff>
    </xdr:to>
    <xdr:sp macro="" textlink="">
      <xdr:nvSpPr>
        <xdr:cNvPr id="258" name="Rectángulo 257">
          <a:extLst>
            <a:ext uri="{FF2B5EF4-FFF2-40B4-BE49-F238E27FC236}">
              <a16:creationId xmlns:a16="http://schemas.microsoft.com/office/drawing/2014/main" id="{DC35B72A-F936-4D8E-9726-D12CA22E2182}"/>
            </a:ext>
          </a:extLst>
        </xdr:cNvPr>
        <xdr:cNvSpPr/>
      </xdr:nvSpPr>
      <xdr:spPr>
        <a:xfrm>
          <a:off x="10001250" y="94440375"/>
          <a:ext cx="762000" cy="121920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20</xdr:col>
      <xdr:colOff>9525</xdr:colOff>
      <xdr:row>466</xdr:row>
      <xdr:rowOff>123825</xdr:rowOff>
    </xdr:from>
    <xdr:to>
      <xdr:col>21</xdr:col>
      <xdr:colOff>552450</xdr:colOff>
      <xdr:row>469</xdr:row>
      <xdr:rowOff>28575</xdr:rowOff>
    </xdr:to>
    <xdr:sp macro="" textlink="">
      <xdr:nvSpPr>
        <xdr:cNvPr id="259" name="Rectángulo 258">
          <a:extLst>
            <a:ext uri="{FF2B5EF4-FFF2-40B4-BE49-F238E27FC236}">
              <a16:creationId xmlns:a16="http://schemas.microsoft.com/office/drawing/2014/main" id="{3DDF052D-2BF8-46BE-8894-B150D18DD72B}"/>
            </a:ext>
          </a:extLst>
        </xdr:cNvPr>
        <xdr:cNvSpPr/>
      </xdr:nvSpPr>
      <xdr:spPr>
        <a:xfrm>
          <a:off x="10772775" y="94802325"/>
          <a:ext cx="1304925" cy="47625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219076</xdr:colOff>
      <xdr:row>463</xdr:row>
      <xdr:rowOff>76200</xdr:rowOff>
    </xdr:from>
    <xdr:to>
      <xdr:col>18</xdr:col>
      <xdr:colOff>657225</xdr:colOff>
      <xdr:row>463</xdr:row>
      <xdr:rowOff>76201</xdr:rowOff>
    </xdr:to>
    <xdr:cxnSp macro="">
      <xdr:nvCxnSpPr>
        <xdr:cNvPr id="261" name="Conector recto 260">
          <a:extLst>
            <a:ext uri="{FF2B5EF4-FFF2-40B4-BE49-F238E27FC236}">
              <a16:creationId xmlns:a16="http://schemas.microsoft.com/office/drawing/2014/main" id="{828E6595-C24B-4FF0-BECE-3655330C9142}"/>
            </a:ext>
          </a:extLst>
        </xdr:cNvPr>
        <xdr:cNvCxnSpPr/>
      </xdr:nvCxnSpPr>
      <xdr:spPr>
        <a:xfrm flipH="1">
          <a:off x="9458326" y="94049850"/>
          <a:ext cx="438149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473</xdr:row>
      <xdr:rowOff>95250</xdr:rowOff>
    </xdr:from>
    <xdr:to>
      <xdr:col>18</xdr:col>
      <xdr:colOff>704851</xdr:colOff>
      <xdr:row>473</xdr:row>
      <xdr:rowOff>95250</xdr:rowOff>
    </xdr:to>
    <xdr:cxnSp macro="">
      <xdr:nvCxnSpPr>
        <xdr:cNvPr id="262" name="Conector recto 261">
          <a:extLst>
            <a:ext uri="{FF2B5EF4-FFF2-40B4-BE49-F238E27FC236}">
              <a16:creationId xmlns:a16="http://schemas.microsoft.com/office/drawing/2014/main" id="{581CDF8A-E3BE-4A4A-B308-A00681932A7D}"/>
            </a:ext>
          </a:extLst>
        </xdr:cNvPr>
        <xdr:cNvCxnSpPr>
          <a:stCxn id="257" idx="2"/>
        </xdr:cNvCxnSpPr>
      </xdr:nvCxnSpPr>
      <xdr:spPr>
        <a:xfrm flipH="1">
          <a:off x="9467850" y="96107250"/>
          <a:ext cx="47625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238125</xdr:colOff>
      <xdr:row>463</xdr:row>
      <xdr:rowOff>133350</xdr:rowOff>
    </xdr:from>
    <xdr:to>
      <xdr:col>18</xdr:col>
      <xdr:colOff>238125</xdr:colOff>
      <xdr:row>473</xdr:row>
      <xdr:rowOff>47625</xdr:rowOff>
    </xdr:to>
    <xdr:cxnSp macro="">
      <xdr:nvCxnSpPr>
        <xdr:cNvPr id="264" name="Conector recto de flecha 263">
          <a:extLst>
            <a:ext uri="{FF2B5EF4-FFF2-40B4-BE49-F238E27FC236}">
              <a16:creationId xmlns:a16="http://schemas.microsoft.com/office/drawing/2014/main" id="{6A515671-57BF-4FA4-81E2-D7857B8BA34E}"/>
            </a:ext>
          </a:extLst>
        </xdr:cNvPr>
        <xdr:cNvCxnSpPr/>
      </xdr:nvCxnSpPr>
      <xdr:spPr>
        <a:xfrm>
          <a:off x="9477375" y="94107000"/>
          <a:ext cx="0" cy="19526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752475</xdr:colOff>
      <xdr:row>462</xdr:row>
      <xdr:rowOff>0</xdr:rowOff>
    </xdr:from>
    <xdr:to>
      <xdr:col>18</xdr:col>
      <xdr:colOff>752476</xdr:colOff>
      <xdr:row>464</xdr:row>
      <xdr:rowOff>0</xdr:rowOff>
    </xdr:to>
    <xdr:cxnSp macro="">
      <xdr:nvCxnSpPr>
        <xdr:cNvPr id="269" name="Conector recto 268">
          <a:extLst>
            <a:ext uri="{FF2B5EF4-FFF2-40B4-BE49-F238E27FC236}">
              <a16:creationId xmlns:a16="http://schemas.microsoft.com/office/drawing/2014/main" id="{F0FC99C2-5FC3-4BF8-8184-9D780A24B2EB}"/>
            </a:ext>
          </a:extLst>
        </xdr:cNvPr>
        <xdr:cNvCxnSpPr/>
      </xdr:nvCxnSpPr>
      <xdr:spPr>
        <a:xfrm flipH="1" flipV="1">
          <a:off x="10753725" y="85029675"/>
          <a:ext cx="1" cy="3238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752477</xdr:colOff>
      <xdr:row>462</xdr:row>
      <xdr:rowOff>9525</xdr:rowOff>
    </xdr:from>
    <xdr:to>
      <xdr:col>20</xdr:col>
      <xdr:colOff>0</xdr:colOff>
      <xdr:row>465</xdr:row>
      <xdr:rowOff>152400</xdr:rowOff>
    </xdr:to>
    <xdr:cxnSp macro="">
      <xdr:nvCxnSpPr>
        <xdr:cNvPr id="270" name="Conector recto 269">
          <a:extLst>
            <a:ext uri="{FF2B5EF4-FFF2-40B4-BE49-F238E27FC236}">
              <a16:creationId xmlns:a16="http://schemas.microsoft.com/office/drawing/2014/main" id="{B50A08C8-F3BE-41F9-93DA-9B7AEEB47E4E}"/>
            </a:ext>
          </a:extLst>
        </xdr:cNvPr>
        <xdr:cNvCxnSpPr/>
      </xdr:nvCxnSpPr>
      <xdr:spPr>
        <a:xfrm flipV="1">
          <a:off x="11515727" y="85039200"/>
          <a:ext cx="9523" cy="628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462</xdr:row>
      <xdr:rowOff>0</xdr:rowOff>
    </xdr:from>
    <xdr:to>
      <xdr:col>19</xdr:col>
      <xdr:colOff>733425</xdr:colOff>
      <xdr:row>462</xdr:row>
      <xdr:rowOff>9526</xdr:rowOff>
    </xdr:to>
    <xdr:cxnSp macro="">
      <xdr:nvCxnSpPr>
        <xdr:cNvPr id="275" name="Conector recto de flecha 274">
          <a:extLst>
            <a:ext uri="{FF2B5EF4-FFF2-40B4-BE49-F238E27FC236}">
              <a16:creationId xmlns:a16="http://schemas.microsoft.com/office/drawing/2014/main" id="{CA19521A-19FC-4EA9-AF1C-CD5D0D6A24D7}"/>
            </a:ext>
          </a:extLst>
        </xdr:cNvPr>
        <xdr:cNvCxnSpPr/>
      </xdr:nvCxnSpPr>
      <xdr:spPr>
        <a:xfrm>
          <a:off x="10029825" y="93802200"/>
          <a:ext cx="704850" cy="9526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542925</xdr:colOff>
      <xdr:row>462</xdr:row>
      <xdr:rowOff>19050</xdr:rowOff>
    </xdr:from>
    <xdr:to>
      <xdr:col>21</xdr:col>
      <xdr:colOff>552450</xdr:colOff>
      <xdr:row>466</xdr:row>
      <xdr:rowOff>123825</xdr:rowOff>
    </xdr:to>
    <xdr:cxnSp macro="">
      <xdr:nvCxnSpPr>
        <xdr:cNvPr id="277" name="Conector recto 276">
          <a:extLst>
            <a:ext uri="{FF2B5EF4-FFF2-40B4-BE49-F238E27FC236}">
              <a16:creationId xmlns:a16="http://schemas.microsoft.com/office/drawing/2014/main" id="{EDE9F2A1-E87D-491D-B223-83182FF6728D}"/>
            </a:ext>
          </a:extLst>
        </xdr:cNvPr>
        <xdr:cNvCxnSpPr/>
      </xdr:nvCxnSpPr>
      <xdr:spPr>
        <a:xfrm flipH="1" flipV="1">
          <a:off x="12068175" y="93821250"/>
          <a:ext cx="9525" cy="981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38100</xdr:colOff>
      <xdr:row>462</xdr:row>
      <xdr:rowOff>9525</xdr:rowOff>
    </xdr:from>
    <xdr:to>
      <xdr:col>21</xdr:col>
      <xdr:colOff>523875</xdr:colOff>
      <xdr:row>462</xdr:row>
      <xdr:rowOff>9525</xdr:rowOff>
    </xdr:to>
    <xdr:cxnSp macro="">
      <xdr:nvCxnSpPr>
        <xdr:cNvPr id="280" name="Conector recto de flecha 279">
          <a:extLst>
            <a:ext uri="{FF2B5EF4-FFF2-40B4-BE49-F238E27FC236}">
              <a16:creationId xmlns:a16="http://schemas.microsoft.com/office/drawing/2014/main" id="{29148EDE-BC8E-49FD-8FDF-DFA667440B3D}"/>
            </a:ext>
          </a:extLst>
        </xdr:cNvPr>
        <xdr:cNvCxnSpPr/>
      </xdr:nvCxnSpPr>
      <xdr:spPr>
        <a:xfrm>
          <a:off x="11563350" y="85039200"/>
          <a:ext cx="12477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465</xdr:row>
      <xdr:rowOff>142875</xdr:rowOff>
    </xdr:from>
    <xdr:to>
      <xdr:col>23</xdr:col>
      <xdr:colOff>238125</xdr:colOff>
      <xdr:row>465</xdr:row>
      <xdr:rowOff>142875</xdr:rowOff>
    </xdr:to>
    <xdr:cxnSp macro="">
      <xdr:nvCxnSpPr>
        <xdr:cNvPr id="285" name="Conector recto 284">
          <a:extLst>
            <a:ext uri="{FF2B5EF4-FFF2-40B4-BE49-F238E27FC236}">
              <a16:creationId xmlns:a16="http://schemas.microsoft.com/office/drawing/2014/main" id="{DF6DB1AE-175D-4D81-8498-5A9052E63967}"/>
            </a:ext>
          </a:extLst>
        </xdr:cNvPr>
        <xdr:cNvCxnSpPr/>
      </xdr:nvCxnSpPr>
      <xdr:spPr>
        <a:xfrm>
          <a:off x="11525250" y="80714850"/>
          <a:ext cx="2524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471</xdr:row>
      <xdr:rowOff>28575</xdr:rowOff>
    </xdr:from>
    <xdr:to>
      <xdr:col>23</xdr:col>
      <xdr:colOff>266700</xdr:colOff>
      <xdr:row>471</xdr:row>
      <xdr:rowOff>28575</xdr:rowOff>
    </xdr:to>
    <xdr:cxnSp macro="">
      <xdr:nvCxnSpPr>
        <xdr:cNvPr id="286" name="Conector recto 285">
          <a:extLst>
            <a:ext uri="{FF2B5EF4-FFF2-40B4-BE49-F238E27FC236}">
              <a16:creationId xmlns:a16="http://schemas.microsoft.com/office/drawing/2014/main" id="{098F651B-E74C-4746-83FA-7C161CAF6C35}"/>
            </a:ext>
          </a:extLst>
        </xdr:cNvPr>
        <xdr:cNvCxnSpPr/>
      </xdr:nvCxnSpPr>
      <xdr:spPr>
        <a:xfrm>
          <a:off x="11525250" y="81572100"/>
          <a:ext cx="2552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247650</xdr:colOff>
      <xdr:row>465</xdr:row>
      <xdr:rowOff>200025</xdr:rowOff>
    </xdr:from>
    <xdr:to>
      <xdr:col>23</xdr:col>
      <xdr:colOff>247650</xdr:colOff>
      <xdr:row>470</xdr:row>
      <xdr:rowOff>152400</xdr:rowOff>
    </xdr:to>
    <xdr:cxnSp macro="">
      <xdr:nvCxnSpPr>
        <xdr:cNvPr id="288" name="Conector recto de flecha 287">
          <a:extLst>
            <a:ext uri="{FF2B5EF4-FFF2-40B4-BE49-F238E27FC236}">
              <a16:creationId xmlns:a16="http://schemas.microsoft.com/office/drawing/2014/main" id="{11242F38-E9A0-4130-90FD-18CAD54222D7}"/>
            </a:ext>
          </a:extLst>
        </xdr:cNvPr>
        <xdr:cNvCxnSpPr/>
      </xdr:nvCxnSpPr>
      <xdr:spPr>
        <a:xfrm>
          <a:off x="13296900" y="94497525"/>
          <a:ext cx="0" cy="10953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542925</xdr:colOff>
      <xdr:row>466</xdr:row>
      <xdr:rowOff>133350</xdr:rowOff>
    </xdr:from>
    <xdr:to>
      <xdr:col>22</xdr:col>
      <xdr:colOff>495300</xdr:colOff>
      <xdr:row>466</xdr:row>
      <xdr:rowOff>133350</xdr:rowOff>
    </xdr:to>
    <xdr:cxnSp macro="">
      <xdr:nvCxnSpPr>
        <xdr:cNvPr id="291" name="Conector recto 290">
          <a:extLst>
            <a:ext uri="{FF2B5EF4-FFF2-40B4-BE49-F238E27FC236}">
              <a16:creationId xmlns:a16="http://schemas.microsoft.com/office/drawing/2014/main" id="{8931B8E5-F37F-40CC-BA7E-5B92D9A94F08}"/>
            </a:ext>
          </a:extLst>
        </xdr:cNvPr>
        <xdr:cNvCxnSpPr/>
      </xdr:nvCxnSpPr>
      <xdr:spPr>
        <a:xfrm>
          <a:off x="12068175" y="94811850"/>
          <a:ext cx="714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561975</xdr:colOff>
      <xdr:row>469</xdr:row>
      <xdr:rowOff>28575</xdr:rowOff>
    </xdr:from>
    <xdr:to>
      <xdr:col>22</xdr:col>
      <xdr:colOff>495300</xdr:colOff>
      <xdr:row>469</xdr:row>
      <xdr:rowOff>28575</xdr:rowOff>
    </xdr:to>
    <xdr:cxnSp macro="">
      <xdr:nvCxnSpPr>
        <xdr:cNvPr id="292" name="Conector recto 291">
          <a:extLst>
            <a:ext uri="{FF2B5EF4-FFF2-40B4-BE49-F238E27FC236}">
              <a16:creationId xmlns:a16="http://schemas.microsoft.com/office/drawing/2014/main" id="{49B06866-6580-468D-927E-FCAE253623E5}"/>
            </a:ext>
          </a:extLst>
        </xdr:cNvPr>
        <xdr:cNvCxnSpPr/>
      </xdr:nvCxnSpPr>
      <xdr:spPr>
        <a:xfrm>
          <a:off x="12087225" y="95278575"/>
          <a:ext cx="695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466725</xdr:colOff>
      <xdr:row>466</xdr:row>
      <xdr:rowOff>180975</xdr:rowOff>
    </xdr:from>
    <xdr:to>
      <xdr:col>22</xdr:col>
      <xdr:colOff>476250</xdr:colOff>
      <xdr:row>468</xdr:row>
      <xdr:rowOff>180975</xdr:rowOff>
    </xdr:to>
    <xdr:cxnSp macro="">
      <xdr:nvCxnSpPr>
        <xdr:cNvPr id="294" name="Conector recto de flecha 293">
          <a:extLst>
            <a:ext uri="{FF2B5EF4-FFF2-40B4-BE49-F238E27FC236}">
              <a16:creationId xmlns:a16="http://schemas.microsoft.com/office/drawing/2014/main" id="{57539347-7706-48AA-99BE-29A3D2DF7EDD}"/>
            </a:ext>
          </a:extLst>
        </xdr:cNvPr>
        <xdr:cNvCxnSpPr/>
      </xdr:nvCxnSpPr>
      <xdr:spPr>
        <a:xfrm>
          <a:off x="12753975" y="94859475"/>
          <a:ext cx="9525" cy="3810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514350</xdr:colOff>
      <xdr:row>467</xdr:row>
      <xdr:rowOff>66675</xdr:rowOff>
    </xdr:from>
    <xdr:to>
      <xdr:col>18</xdr:col>
      <xdr:colOff>112350</xdr:colOff>
      <xdr:row>469</xdr:row>
      <xdr:rowOff>102825</xdr:rowOff>
    </xdr:to>
    <xdr:sp macro="" textlink="">
      <xdr:nvSpPr>
        <xdr:cNvPr id="295" name="CuadroTexto 294">
          <a:extLst>
            <a:ext uri="{FF2B5EF4-FFF2-40B4-BE49-F238E27FC236}">
              <a16:creationId xmlns:a16="http://schemas.microsoft.com/office/drawing/2014/main" id="{DA5F9AA4-9527-4185-AA50-9ECD6F5DEAEB}"/>
            </a:ext>
          </a:extLst>
        </xdr:cNvPr>
        <xdr:cNvSpPr txBox="1"/>
      </xdr:nvSpPr>
      <xdr:spPr>
        <a:xfrm>
          <a:off x="9753600" y="8590597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19</xdr:col>
      <xdr:colOff>190500</xdr:colOff>
      <xdr:row>462</xdr:row>
      <xdr:rowOff>133350</xdr:rowOff>
    </xdr:from>
    <xdr:to>
      <xdr:col>19</xdr:col>
      <xdr:colOff>550500</xdr:colOff>
      <xdr:row>465</xdr:row>
      <xdr:rowOff>7575</xdr:rowOff>
    </xdr:to>
    <xdr:sp macro="" textlink="">
      <xdr:nvSpPr>
        <xdr:cNvPr id="296" name="CuadroTexto 295">
          <a:extLst>
            <a:ext uri="{FF2B5EF4-FFF2-40B4-BE49-F238E27FC236}">
              <a16:creationId xmlns:a16="http://schemas.microsoft.com/office/drawing/2014/main" id="{85783F9B-3788-43B3-81FA-C123E3605FEF}"/>
            </a:ext>
          </a:extLst>
        </xdr:cNvPr>
        <xdr:cNvSpPr txBox="1"/>
      </xdr:nvSpPr>
      <xdr:spPr>
        <a:xfrm>
          <a:off x="10953750" y="851630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D</a:t>
          </a:r>
        </a:p>
      </xdr:txBody>
    </xdr:sp>
    <xdr:clientData/>
  </xdr:twoCellAnchor>
  <xdr:twoCellAnchor>
    <xdr:from>
      <xdr:col>20</xdr:col>
      <xdr:colOff>523875</xdr:colOff>
      <xdr:row>462</xdr:row>
      <xdr:rowOff>142875</xdr:rowOff>
    </xdr:from>
    <xdr:to>
      <xdr:col>21</xdr:col>
      <xdr:colOff>121875</xdr:colOff>
      <xdr:row>465</xdr:row>
      <xdr:rowOff>17100</xdr:rowOff>
    </xdr:to>
    <xdr:sp macro="" textlink="">
      <xdr:nvSpPr>
        <xdr:cNvPr id="297" name="CuadroTexto 296">
          <a:extLst>
            <a:ext uri="{FF2B5EF4-FFF2-40B4-BE49-F238E27FC236}">
              <a16:creationId xmlns:a16="http://schemas.microsoft.com/office/drawing/2014/main" id="{28094E6F-D897-44E1-A32E-34463C114A23}"/>
            </a:ext>
          </a:extLst>
        </xdr:cNvPr>
        <xdr:cNvSpPr txBox="1"/>
      </xdr:nvSpPr>
      <xdr:spPr>
        <a:xfrm>
          <a:off x="12049125" y="851725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E</a:t>
          </a:r>
        </a:p>
      </xdr:txBody>
    </xdr:sp>
    <xdr:clientData/>
  </xdr:twoCellAnchor>
  <xdr:twoCellAnchor>
    <xdr:from>
      <xdr:col>23</xdr:col>
      <xdr:colOff>342900</xdr:colOff>
      <xdr:row>466</xdr:row>
      <xdr:rowOff>161925</xdr:rowOff>
    </xdr:from>
    <xdr:to>
      <xdr:col>23</xdr:col>
      <xdr:colOff>702900</xdr:colOff>
      <xdr:row>469</xdr:row>
      <xdr:rowOff>7575</xdr:rowOff>
    </xdr:to>
    <xdr:sp macro="" textlink="">
      <xdr:nvSpPr>
        <xdr:cNvPr id="298" name="CuadroTexto 297">
          <a:extLst>
            <a:ext uri="{FF2B5EF4-FFF2-40B4-BE49-F238E27FC236}">
              <a16:creationId xmlns:a16="http://schemas.microsoft.com/office/drawing/2014/main" id="{21D5BFB6-29BD-4C31-95C0-812193B65AD8}"/>
            </a:ext>
          </a:extLst>
        </xdr:cNvPr>
        <xdr:cNvSpPr txBox="1"/>
      </xdr:nvSpPr>
      <xdr:spPr>
        <a:xfrm>
          <a:off x="13392150" y="94840425"/>
          <a:ext cx="360000" cy="41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22</xdr:col>
      <xdr:colOff>552450</xdr:colOff>
      <xdr:row>466</xdr:row>
      <xdr:rowOff>161925</xdr:rowOff>
    </xdr:from>
    <xdr:to>
      <xdr:col>23</xdr:col>
      <xdr:colOff>150450</xdr:colOff>
      <xdr:row>469</xdr:row>
      <xdr:rowOff>7575</xdr:rowOff>
    </xdr:to>
    <xdr:sp macro="" textlink="">
      <xdr:nvSpPr>
        <xdr:cNvPr id="299" name="CuadroTexto 298">
          <a:extLst>
            <a:ext uri="{FF2B5EF4-FFF2-40B4-BE49-F238E27FC236}">
              <a16:creationId xmlns:a16="http://schemas.microsoft.com/office/drawing/2014/main" id="{0D6F768A-181F-45A9-A182-3D1F14B27780}"/>
            </a:ext>
          </a:extLst>
        </xdr:cNvPr>
        <xdr:cNvSpPr txBox="1"/>
      </xdr:nvSpPr>
      <xdr:spPr>
        <a:xfrm>
          <a:off x="12839700" y="94840425"/>
          <a:ext cx="360000" cy="41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12</xdr:col>
      <xdr:colOff>57150</xdr:colOff>
      <xdr:row>672</xdr:row>
      <xdr:rowOff>19050</xdr:rowOff>
    </xdr:from>
    <xdr:to>
      <xdr:col>12</xdr:col>
      <xdr:colOff>257175</xdr:colOff>
      <xdr:row>673</xdr:row>
      <xdr:rowOff>123825</xdr:rowOff>
    </xdr:to>
    <xdr:sp macro="" textlink="">
      <xdr:nvSpPr>
        <xdr:cNvPr id="301" name="Rectángulo 300">
          <a:extLst>
            <a:ext uri="{FF2B5EF4-FFF2-40B4-BE49-F238E27FC236}">
              <a16:creationId xmlns:a16="http://schemas.microsoft.com/office/drawing/2014/main" id="{F189FA8B-EF43-4423-9B0C-D93166D9107A}"/>
            </a:ext>
          </a:extLst>
        </xdr:cNvPr>
        <xdr:cNvSpPr/>
      </xdr:nvSpPr>
      <xdr:spPr>
        <a:xfrm>
          <a:off x="10820400" y="101727000"/>
          <a:ext cx="200025" cy="26670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447675</xdr:colOff>
      <xdr:row>672</xdr:row>
      <xdr:rowOff>19050</xdr:rowOff>
    </xdr:from>
    <xdr:to>
      <xdr:col>12</xdr:col>
      <xdr:colOff>647700</xdr:colOff>
      <xdr:row>673</xdr:row>
      <xdr:rowOff>123825</xdr:rowOff>
    </xdr:to>
    <xdr:sp macro="" textlink="">
      <xdr:nvSpPr>
        <xdr:cNvPr id="302" name="Rectángulo 301">
          <a:extLst>
            <a:ext uri="{FF2B5EF4-FFF2-40B4-BE49-F238E27FC236}">
              <a16:creationId xmlns:a16="http://schemas.microsoft.com/office/drawing/2014/main" id="{1825BD5B-C244-41A4-B72B-93AE1D64D405}"/>
            </a:ext>
          </a:extLst>
        </xdr:cNvPr>
        <xdr:cNvSpPr/>
      </xdr:nvSpPr>
      <xdr:spPr>
        <a:xfrm>
          <a:off x="11210925" y="101727000"/>
          <a:ext cx="200025" cy="26670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47625</xdr:colOff>
      <xdr:row>666</xdr:row>
      <xdr:rowOff>85725</xdr:rowOff>
    </xdr:from>
    <xdr:to>
      <xdr:col>12</xdr:col>
      <xdr:colOff>247650</xdr:colOff>
      <xdr:row>668</xdr:row>
      <xdr:rowOff>28575</xdr:rowOff>
    </xdr:to>
    <xdr:sp macro="" textlink="">
      <xdr:nvSpPr>
        <xdr:cNvPr id="303" name="Rectángulo 302">
          <a:extLst>
            <a:ext uri="{FF2B5EF4-FFF2-40B4-BE49-F238E27FC236}">
              <a16:creationId xmlns:a16="http://schemas.microsoft.com/office/drawing/2014/main" id="{8136A756-2A46-4A44-A36E-B0EAD49772AB}"/>
            </a:ext>
          </a:extLst>
        </xdr:cNvPr>
        <xdr:cNvSpPr/>
      </xdr:nvSpPr>
      <xdr:spPr>
        <a:xfrm>
          <a:off x="6238875" y="126815850"/>
          <a:ext cx="200025" cy="333375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12</xdr:col>
      <xdr:colOff>457200</xdr:colOff>
      <xdr:row>666</xdr:row>
      <xdr:rowOff>66675</xdr:rowOff>
    </xdr:from>
    <xdr:to>
      <xdr:col>12</xdr:col>
      <xdr:colOff>657225</xdr:colOff>
      <xdr:row>668</xdr:row>
      <xdr:rowOff>9525</xdr:rowOff>
    </xdr:to>
    <xdr:sp macro="" textlink="">
      <xdr:nvSpPr>
        <xdr:cNvPr id="304" name="Rectángulo 303">
          <a:extLst>
            <a:ext uri="{FF2B5EF4-FFF2-40B4-BE49-F238E27FC236}">
              <a16:creationId xmlns:a16="http://schemas.microsoft.com/office/drawing/2014/main" id="{0011AC47-479F-4A2C-BED1-A571F986D9E0}"/>
            </a:ext>
          </a:extLst>
        </xdr:cNvPr>
        <xdr:cNvSpPr/>
      </xdr:nvSpPr>
      <xdr:spPr>
        <a:xfrm>
          <a:off x="11220450" y="100803075"/>
          <a:ext cx="200025" cy="26670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11</xdr:col>
      <xdr:colOff>638175</xdr:colOff>
      <xdr:row>668</xdr:row>
      <xdr:rowOff>9525</xdr:rowOff>
    </xdr:from>
    <xdr:to>
      <xdr:col>14</xdr:col>
      <xdr:colOff>38100</xdr:colOff>
      <xdr:row>672</xdr:row>
      <xdr:rowOff>38100</xdr:rowOff>
    </xdr:to>
    <xdr:sp macro="" textlink="">
      <xdr:nvSpPr>
        <xdr:cNvPr id="305" name="Rectángulo 304">
          <a:extLst>
            <a:ext uri="{FF2B5EF4-FFF2-40B4-BE49-F238E27FC236}">
              <a16:creationId xmlns:a16="http://schemas.microsoft.com/office/drawing/2014/main" id="{DB56BE5F-3F60-48D8-B819-05E53D2F0B71}"/>
            </a:ext>
          </a:extLst>
        </xdr:cNvPr>
        <xdr:cNvSpPr/>
      </xdr:nvSpPr>
      <xdr:spPr>
        <a:xfrm>
          <a:off x="6829425" y="101041200"/>
          <a:ext cx="923925" cy="676275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438150</xdr:colOff>
      <xdr:row>679</xdr:row>
      <xdr:rowOff>9525</xdr:rowOff>
    </xdr:from>
    <xdr:to>
      <xdr:col>18</xdr:col>
      <xdr:colOff>171450</xdr:colOff>
      <xdr:row>684</xdr:row>
      <xdr:rowOff>142875</xdr:rowOff>
    </xdr:to>
    <xdr:sp macro="" textlink="">
      <xdr:nvSpPr>
        <xdr:cNvPr id="306" name="Rectángulo 305">
          <a:extLst>
            <a:ext uri="{FF2B5EF4-FFF2-40B4-BE49-F238E27FC236}">
              <a16:creationId xmlns:a16="http://schemas.microsoft.com/office/drawing/2014/main" id="{68E7D1D5-0A83-4AFE-A5B0-A6395DD120A3}"/>
            </a:ext>
          </a:extLst>
        </xdr:cNvPr>
        <xdr:cNvSpPr/>
      </xdr:nvSpPr>
      <xdr:spPr>
        <a:xfrm>
          <a:off x="10439400" y="102850950"/>
          <a:ext cx="495300" cy="942975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18</xdr:col>
      <xdr:colOff>171450</xdr:colOff>
      <xdr:row>681</xdr:row>
      <xdr:rowOff>19050</xdr:rowOff>
    </xdr:from>
    <xdr:to>
      <xdr:col>19</xdr:col>
      <xdr:colOff>161925</xdr:colOff>
      <xdr:row>682</xdr:row>
      <xdr:rowOff>104775</xdr:rowOff>
    </xdr:to>
    <xdr:sp macro="" textlink="">
      <xdr:nvSpPr>
        <xdr:cNvPr id="307" name="Rectángulo 306">
          <a:extLst>
            <a:ext uri="{FF2B5EF4-FFF2-40B4-BE49-F238E27FC236}">
              <a16:creationId xmlns:a16="http://schemas.microsoft.com/office/drawing/2014/main" id="{014968DB-2AFE-4F1F-8FC3-0D7B32C82B7C}"/>
            </a:ext>
          </a:extLst>
        </xdr:cNvPr>
        <xdr:cNvSpPr/>
      </xdr:nvSpPr>
      <xdr:spPr>
        <a:xfrm>
          <a:off x="10934700" y="103184325"/>
          <a:ext cx="752475" cy="24765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9525</xdr:colOff>
      <xdr:row>679</xdr:row>
      <xdr:rowOff>9525</xdr:rowOff>
    </xdr:from>
    <xdr:to>
      <xdr:col>17</xdr:col>
      <xdr:colOff>428625</xdr:colOff>
      <xdr:row>679</xdr:row>
      <xdr:rowOff>9525</xdr:rowOff>
    </xdr:to>
    <xdr:cxnSp macro="">
      <xdr:nvCxnSpPr>
        <xdr:cNvPr id="309" name="Conector recto 308">
          <a:extLst>
            <a:ext uri="{FF2B5EF4-FFF2-40B4-BE49-F238E27FC236}">
              <a16:creationId xmlns:a16="http://schemas.microsoft.com/office/drawing/2014/main" id="{8572F6DE-A141-43EF-BB7C-A55DB5F7A492}"/>
            </a:ext>
          </a:extLst>
        </xdr:cNvPr>
        <xdr:cNvCxnSpPr/>
      </xdr:nvCxnSpPr>
      <xdr:spPr>
        <a:xfrm flipH="1">
          <a:off x="10010775" y="102850950"/>
          <a:ext cx="4191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</xdr:colOff>
      <xdr:row>684</xdr:row>
      <xdr:rowOff>142875</xdr:rowOff>
    </xdr:from>
    <xdr:to>
      <xdr:col>17</xdr:col>
      <xdr:colOff>438151</xdr:colOff>
      <xdr:row>684</xdr:row>
      <xdr:rowOff>142875</xdr:rowOff>
    </xdr:to>
    <xdr:cxnSp macro="">
      <xdr:nvCxnSpPr>
        <xdr:cNvPr id="310" name="Conector recto 309">
          <a:extLst>
            <a:ext uri="{FF2B5EF4-FFF2-40B4-BE49-F238E27FC236}">
              <a16:creationId xmlns:a16="http://schemas.microsoft.com/office/drawing/2014/main" id="{3DAB2E40-F923-4264-8137-930BD81C9D0E}"/>
            </a:ext>
          </a:extLst>
        </xdr:cNvPr>
        <xdr:cNvCxnSpPr/>
      </xdr:nvCxnSpPr>
      <xdr:spPr>
        <a:xfrm flipH="1">
          <a:off x="10010775" y="103793925"/>
          <a:ext cx="42862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28575</xdr:colOff>
      <xdr:row>679</xdr:row>
      <xdr:rowOff>28575</xdr:rowOff>
    </xdr:from>
    <xdr:to>
      <xdr:col>17</xdr:col>
      <xdr:colOff>28575</xdr:colOff>
      <xdr:row>684</xdr:row>
      <xdr:rowOff>133350</xdr:rowOff>
    </xdr:to>
    <xdr:cxnSp macro="">
      <xdr:nvCxnSpPr>
        <xdr:cNvPr id="314" name="Conector recto de flecha 313">
          <a:extLst>
            <a:ext uri="{FF2B5EF4-FFF2-40B4-BE49-F238E27FC236}">
              <a16:creationId xmlns:a16="http://schemas.microsoft.com/office/drawing/2014/main" id="{6E8563C7-B38E-4268-B074-609884565F2D}"/>
            </a:ext>
          </a:extLst>
        </xdr:cNvPr>
        <xdr:cNvCxnSpPr/>
      </xdr:nvCxnSpPr>
      <xdr:spPr>
        <a:xfrm>
          <a:off x="10029825" y="102870000"/>
          <a:ext cx="0" cy="9144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447675</xdr:colOff>
      <xdr:row>677</xdr:row>
      <xdr:rowOff>38100</xdr:rowOff>
    </xdr:from>
    <xdr:to>
      <xdr:col>17</xdr:col>
      <xdr:colOff>447675</xdr:colOff>
      <xdr:row>679</xdr:row>
      <xdr:rowOff>1</xdr:rowOff>
    </xdr:to>
    <xdr:cxnSp macro="">
      <xdr:nvCxnSpPr>
        <xdr:cNvPr id="319" name="Conector recto 318">
          <a:extLst>
            <a:ext uri="{FF2B5EF4-FFF2-40B4-BE49-F238E27FC236}">
              <a16:creationId xmlns:a16="http://schemas.microsoft.com/office/drawing/2014/main" id="{2870E16E-E62C-4948-99B8-7AE35EBE395F}"/>
            </a:ext>
          </a:extLst>
        </xdr:cNvPr>
        <xdr:cNvCxnSpPr/>
      </xdr:nvCxnSpPr>
      <xdr:spPr>
        <a:xfrm flipV="1">
          <a:off x="10448925" y="102555675"/>
          <a:ext cx="0" cy="2857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171450</xdr:colOff>
      <xdr:row>677</xdr:row>
      <xdr:rowOff>38100</xdr:rowOff>
    </xdr:from>
    <xdr:to>
      <xdr:col>18</xdr:col>
      <xdr:colOff>171452</xdr:colOff>
      <xdr:row>679</xdr:row>
      <xdr:rowOff>9526</xdr:rowOff>
    </xdr:to>
    <xdr:cxnSp macro="">
      <xdr:nvCxnSpPr>
        <xdr:cNvPr id="320" name="Conector recto 319">
          <a:extLst>
            <a:ext uri="{FF2B5EF4-FFF2-40B4-BE49-F238E27FC236}">
              <a16:creationId xmlns:a16="http://schemas.microsoft.com/office/drawing/2014/main" id="{3B8E1EE9-2489-4491-86C5-530C016F5A07}"/>
            </a:ext>
          </a:extLst>
        </xdr:cNvPr>
        <xdr:cNvCxnSpPr/>
      </xdr:nvCxnSpPr>
      <xdr:spPr>
        <a:xfrm flipH="1" flipV="1">
          <a:off x="10934700" y="102555675"/>
          <a:ext cx="2" cy="2952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466725</xdr:colOff>
      <xdr:row>677</xdr:row>
      <xdr:rowOff>66675</xdr:rowOff>
    </xdr:from>
    <xdr:to>
      <xdr:col>18</xdr:col>
      <xdr:colOff>142875</xdr:colOff>
      <xdr:row>677</xdr:row>
      <xdr:rowOff>66675</xdr:rowOff>
    </xdr:to>
    <xdr:cxnSp macro="">
      <xdr:nvCxnSpPr>
        <xdr:cNvPr id="326" name="Conector recto de flecha 325">
          <a:extLst>
            <a:ext uri="{FF2B5EF4-FFF2-40B4-BE49-F238E27FC236}">
              <a16:creationId xmlns:a16="http://schemas.microsoft.com/office/drawing/2014/main" id="{890896A1-08DC-408B-9E2F-189006C7716F}"/>
            </a:ext>
          </a:extLst>
        </xdr:cNvPr>
        <xdr:cNvCxnSpPr/>
      </xdr:nvCxnSpPr>
      <xdr:spPr>
        <a:xfrm>
          <a:off x="10467975" y="102584250"/>
          <a:ext cx="4381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161925</xdr:colOff>
      <xdr:row>677</xdr:row>
      <xdr:rowOff>47625</xdr:rowOff>
    </xdr:from>
    <xdr:to>
      <xdr:col>19</xdr:col>
      <xdr:colOff>161925</xdr:colOff>
      <xdr:row>681</xdr:row>
      <xdr:rowOff>28575</xdr:rowOff>
    </xdr:to>
    <xdr:cxnSp macro="">
      <xdr:nvCxnSpPr>
        <xdr:cNvPr id="328" name="Conector recto 327">
          <a:extLst>
            <a:ext uri="{FF2B5EF4-FFF2-40B4-BE49-F238E27FC236}">
              <a16:creationId xmlns:a16="http://schemas.microsoft.com/office/drawing/2014/main" id="{CE9023A0-1F96-4083-8F00-153428D9F305}"/>
            </a:ext>
          </a:extLst>
        </xdr:cNvPr>
        <xdr:cNvCxnSpPr/>
      </xdr:nvCxnSpPr>
      <xdr:spPr>
        <a:xfrm flipV="1">
          <a:off x="11687175" y="102565200"/>
          <a:ext cx="0" cy="628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200025</xdr:colOff>
      <xdr:row>677</xdr:row>
      <xdr:rowOff>66675</xdr:rowOff>
    </xdr:from>
    <xdr:to>
      <xdr:col>19</xdr:col>
      <xdr:colOff>133350</xdr:colOff>
      <xdr:row>677</xdr:row>
      <xdr:rowOff>66676</xdr:rowOff>
    </xdr:to>
    <xdr:cxnSp macro="">
      <xdr:nvCxnSpPr>
        <xdr:cNvPr id="330" name="Conector recto de flecha 329">
          <a:extLst>
            <a:ext uri="{FF2B5EF4-FFF2-40B4-BE49-F238E27FC236}">
              <a16:creationId xmlns:a16="http://schemas.microsoft.com/office/drawing/2014/main" id="{079B111E-513D-45F6-8CDB-52351F1DE32F}"/>
            </a:ext>
          </a:extLst>
        </xdr:cNvPr>
        <xdr:cNvCxnSpPr/>
      </xdr:nvCxnSpPr>
      <xdr:spPr>
        <a:xfrm flipV="1">
          <a:off x="10963275" y="102584250"/>
          <a:ext cx="69532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171450</xdr:colOff>
      <xdr:row>681</xdr:row>
      <xdr:rowOff>0</xdr:rowOff>
    </xdr:from>
    <xdr:to>
      <xdr:col>19</xdr:col>
      <xdr:colOff>752475</xdr:colOff>
      <xdr:row>681</xdr:row>
      <xdr:rowOff>9525</xdr:rowOff>
    </xdr:to>
    <xdr:cxnSp macro="">
      <xdr:nvCxnSpPr>
        <xdr:cNvPr id="333" name="Conector recto 332">
          <a:extLst>
            <a:ext uri="{FF2B5EF4-FFF2-40B4-BE49-F238E27FC236}">
              <a16:creationId xmlns:a16="http://schemas.microsoft.com/office/drawing/2014/main" id="{0DE89ABF-C8F8-43DC-8243-9EC016D126CA}"/>
            </a:ext>
          </a:extLst>
        </xdr:cNvPr>
        <xdr:cNvCxnSpPr/>
      </xdr:nvCxnSpPr>
      <xdr:spPr>
        <a:xfrm flipV="1">
          <a:off x="11696700" y="103165275"/>
          <a:ext cx="5810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161925</xdr:colOff>
      <xdr:row>682</xdr:row>
      <xdr:rowOff>95250</xdr:rowOff>
    </xdr:from>
    <xdr:to>
      <xdr:col>19</xdr:col>
      <xdr:colOff>742950</xdr:colOff>
      <xdr:row>682</xdr:row>
      <xdr:rowOff>104775</xdr:rowOff>
    </xdr:to>
    <xdr:cxnSp macro="">
      <xdr:nvCxnSpPr>
        <xdr:cNvPr id="334" name="Conector recto 333">
          <a:extLst>
            <a:ext uri="{FF2B5EF4-FFF2-40B4-BE49-F238E27FC236}">
              <a16:creationId xmlns:a16="http://schemas.microsoft.com/office/drawing/2014/main" id="{63A013F3-C6F8-478C-AB44-88BD6A7BBC93}"/>
            </a:ext>
          </a:extLst>
        </xdr:cNvPr>
        <xdr:cNvCxnSpPr/>
      </xdr:nvCxnSpPr>
      <xdr:spPr>
        <a:xfrm flipV="1">
          <a:off x="11687175" y="103422450"/>
          <a:ext cx="5810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723900</xdr:colOff>
      <xdr:row>681</xdr:row>
      <xdr:rowOff>9525</xdr:rowOff>
    </xdr:from>
    <xdr:to>
      <xdr:col>19</xdr:col>
      <xdr:colOff>723900</xdr:colOff>
      <xdr:row>682</xdr:row>
      <xdr:rowOff>85725</xdr:rowOff>
    </xdr:to>
    <xdr:cxnSp macro="">
      <xdr:nvCxnSpPr>
        <xdr:cNvPr id="336" name="Conector recto de flecha 335">
          <a:extLst>
            <a:ext uri="{FF2B5EF4-FFF2-40B4-BE49-F238E27FC236}">
              <a16:creationId xmlns:a16="http://schemas.microsoft.com/office/drawing/2014/main" id="{D089D855-BB91-4160-BA02-AE6B35D54E6B}"/>
            </a:ext>
          </a:extLst>
        </xdr:cNvPr>
        <xdr:cNvCxnSpPr/>
      </xdr:nvCxnSpPr>
      <xdr:spPr>
        <a:xfrm>
          <a:off x="12249150" y="103174800"/>
          <a:ext cx="0" cy="2381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352425</xdr:colOff>
      <xdr:row>680</xdr:row>
      <xdr:rowOff>142875</xdr:rowOff>
    </xdr:from>
    <xdr:to>
      <xdr:col>16</xdr:col>
      <xdr:colOff>712425</xdr:colOff>
      <xdr:row>683</xdr:row>
      <xdr:rowOff>17100</xdr:rowOff>
    </xdr:to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08F2EFB5-6D66-40B2-8EA7-47E8C02093EE}"/>
            </a:ext>
          </a:extLst>
        </xdr:cNvPr>
        <xdr:cNvSpPr txBox="1"/>
      </xdr:nvSpPr>
      <xdr:spPr>
        <a:xfrm>
          <a:off x="9591675" y="1031462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17</xdr:col>
      <xdr:colOff>504824</xdr:colOff>
      <xdr:row>674</xdr:row>
      <xdr:rowOff>66675</xdr:rowOff>
    </xdr:from>
    <xdr:to>
      <xdr:col>18</xdr:col>
      <xdr:colOff>102824</xdr:colOff>
      <xdr:row>676</xdr:row>
      <xdr:rowOff>102825</xdr:rowOff>
    </xdr:to>
    <xdr:sp macro="" textlink="">
      <xdr:nvSpPr>
        <xdr:cNvPr id="338" name="CuadroTexto 337">
          <a:extLst>
            <a:ext uri="{FF2B5EF4-FFF2-40B4-BE49-F238E27FC236}">
              <a16:creationId xmlns:a16="http://schemas.microsoft.com/office/drawing/2014/main" id="{D4D9A9D4-AD5E-467F-B857-881BFD2719F6}"/>
            </a:ext>
          </a:extLst>
        </xdr:cNvPr>
        <xdr:cNvSpPr txBox="1"/>
      </xdr:nvSpPr>
      <xdr:spPr>
        <a:xfrm>
          <a:off x="8982074" y="128473200"/>
          <a:ext cx="360000" cy="369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18</xdr:col>
      <xdr:colOff>400050</xdr:colOff>
      <xdr:row>674</xdr:row>
      <xdr:rowOff>66675</xdr:rowOff>
    </xdr:from>
    <xdr:to>
      <xdr:col>18</xdr:col>
      <xdr:colOff>760050</xdr:colOff>
      <xdr:row>676</xdr:row>
      <xdr:rowOff>102825</xdr:rowOff>
    </xdr:to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AECF65AD-32FC-49AE-8229-CA1901B4818F}"/>
            </a:ext>
          </a:extLst>
        </xdr:cNvPr>
        <xdr:cNvSpPr txBox="1"/>
      </xdr:nvSpPr>
      <xdr:spPr>
        <a:xfrm>
          <a:off x="9639300" y="128473200"/>
          <a:ext cx="360000" cy="369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D</a:t>
          </a:r>
        </a:p>
      </xdr:txBody>
    </xdr:sp>
    <xdr:clientData/>
  </xdr:twoCellAnchor>
  <xdr:twoCellAnchor>
    <xdr:from>
      <xdr:col>20</xdr:col>
      <xdr:colOff>85725</xdr:colOff>
      <xdr:row>680</xdr:row>
      <xdr:rowOff>123825</xdr:rowOff>
    </xdr:from>
    <xdr:to>
      <xdr:col>20</xdr:col>
      <xdr:colOff>445725</xdr:colOff>
      <xdr:row>682</xdr:row>
      <xdr:rowOff>159975</xdr:rowOff>
    </xdr:to>
    <xdr:sp macro="" textlink="">
      <xdr:nvSpPr>
        <xdr:cNvPr id="340" name="CuadroTexto 339">
          <a:extLst>
            <a:ext uri="{FF2B5EF4-FFF2-40B4-BE49-F238E27FC236}">
              <a16:creationId xmlns:a16="http://schemas.microsoft.com/office/drawing/2014/main" id="{35C4F36E-BE7A-4669-833D-5902320EC897}"/>
            </a:ext>
          </a:extLst>
        </xdr:cNvPr>
        <xdr:cNvSpPr txBox="1"/>
      </xdr:nvSpPr>
      <xdr:spPr>
        <a:xfrm>
          <a:off x="12372975" y="10312717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16</xdr:col>
      <xdr:colOff>600075</xdr:colOff>
      <xdr:row>694</xdr:row>
      <xdr:rowOff>0</xdr:rowOff>
    </xdr:from>
    <xdr:to>
      <xdr:col>16</xdr:col>
      <xdr:colOff>742950</xdr:colOff>
      <xdr:row>702</xdr:row>
      <xdr:rowOff>142875</xdr:rowOff>
    </xdr:to>
    <xdr:sp macro="" textlink="">
      <xdr:nvSpPr>
        <xdr:cNvPr id="341" name="Rectángulo 340">
          <a:extLst>
            <a:ext uri="{FF2B5EF4-FFF2-40B4-BE49-F238E27FC236}">
              <a16:creationId xmlns:a16="http://schemas.microsoft.com/office/drawing/2014/main" id="{A3080C46-4382-4BB3-985B-E6DFA7CB4206}"/>
            </a:ext>
          </a:extLst>
        </xdr:cNvPr>
        <xdr:cNvSpPr/>
      </xdr:nvSpPr>
      <xdr:spPr>
        <a:xfrm>
          <a:off x="10601325" y="105432225"/>
          <a:ext cx="142875" cy="1438275"/>
        </a:xfrm>
        <a:prstGeom prst="rect">
          <a:avLst/>
        </a:prstGeom>
        <a:solidFill>
          <a:srgbClr val="A064F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742950</xdr:colOff>
      <xdr:row>695</xdr:row>
      <xdr:rowOff>9525</xdr:rowOff>
    </xdr:from>
    <xdr:to>
      <xdr:col>18</xdr:col>
      <xdr:colOff>9525</xdr:colOff>
      <xdr:row>701</xdr:row>
      <xdr:rowOff>152400</xdr:rowOff>
    </xdr:to>
    <xdr:sp macro="" textlink="">
      <xdr:nvSpPr>
        <xdr:cNvPr id="342" name="Rectángulo 341">
          <a:extLst>
            <a:ext uri="{FF2B5EF4-FFF2-40B4-BE49-F238E27FC236}">
              <a16:creationId xmlns:a16="http://schemas.microsoft.com/office/drawing/2014/main" id="{C8204CE2-0D71-4E5B-B2A1-A01734DBBED8}"/>
            </a:ext>
          </a:extLst>
        </xdr:cNvPr>
        <xdr:cNvSpPr/>
      </xdr:nvSpPr>
      <xdr:spPr>
        <a:xfrm>
          <a:off x="10744200" y="105603675"/>
          <a:ext cx="790575" cy="1114425"/>
        </a:xfrm>
        <a:prstGeom prst="rect">
          <a:avLst/>
        </a:prstGeom>
        <a:solidFill>
          <a:srgbClr val="A064FA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314325</xdr:colOff>
      <xdr:row>696</xdr:row>
      <xdr:rowOff>0</xdr:rowOff>
    </xdr:from>
    <xdr:to>
      <xdr:col>18</xdr:col>
      <xdr:colOff>9525</xdr:colOff>
      <xdr:row>701</xdr:row>
      <xdr:rowOff>9525</xdr:rowOff>
    </xdr:to>
    <xdr:sp macro="" textlink="">
      <xdr:nvSpPr>
        <xdr:cNvPr id="343" name="Rectángulo 342">
          <a:extLst>
            <a:ext uri="{FF2B5EF4-FFF2-40B4-BE49-F238E27FC236}">
              <a16:creationId xmlns:a16="http://schemas.microsoft.com/office/drawing/2014/main" id="{C1B73079-86FE-4EC5-A805-2E4204BBFF18}"/>
            </a:ext>
          </a:extLst>
        </xdr:cNvPr>
        <xdr:cNvSpPr/>
      </xdr:nvSpPr>
      <xdr:spPr>
        <a:xfrm>
          <a:off x="11077575" y="105756075"/>
          <a:ext cx="457200" cy="8191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100017</xdr:colOff>
      <xdr:row>695</xdr:row>
      <xdr:rowOff>176213</xdr:rowOff>
    </xdr:from>
    <xdr:to>
      <xdr:col>17</xdr:col>
      <xdr:colOff>314331</xdr:colOff>
      <xdr:row>701</xdr:row>
      <xdr:rowOff>9525</xdr:rowOff>
    </xdr:to>
    <xdr:sp macro="" textlink="">
      <xdr:nvSpPr>
        <xdr:cNvPr id="344" name="Triángulo isósceles 343">
          <a:extLst>
            <a:ext uri="{FF2B5EF4-FFF2-40B4-BE49-F238E27FC236}">
              <a16:creationId xmlns:a16="http://schemas.microsoft.com/office/drawing/2014/main" id="{45AE4BCC-F2F5-4A9D-8D3E-85805BDB496E}"/>
            </a:ext>
          </a:extLst>
        </xdr:cNvPr>
        <xdr:cNvSpPr/>
      </xdr:nvSpPr>
      <xdr:spPr>
        <a:xfrm rot="16200000">
          <a:off x="8181980" y="135340725"/>
          <a:ext cx="1004887" cy="214314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17</xdr:col>
      <xdr:colOff>314329</xdr:colOff>
      <xdr:row>695</xdr:row>
      <xdr:rowOff>185738</xdr:rowOff>
    </xdr:from>
    <xdr:to>
      <xdr:col>17</xdr:col>
      <xdr:colOff>323850</xdr:colOff>
      <xdr:row>701</xdr:row>
      <xdr:rowOff>28575</xdr:rowOff>
    </xdr:to>
    <xdr:cxnSp macro="">
      <xdr:nvCxnSpPr>
        <xdr:cNvPr id="346" name="Conector recto 345">
          <a:extLst>
            <a:ext uri="{FF2B5EF4-FFF2-40B4-BE49-F238E27FC236}">
              <a16:creationId xmlns:a16="http://schemas.microsoft.com/office/drawing/2014/main" id="{819E6B75-1602-4829-B3E0-4D599A51680E}"/>
            </a:ext>
          </a:extLst>
        </xdr:cNvPr>
        <xdr:cNvCxnSpPr/>
      </xdr:nvCxnSpPr>
      <xdr:spPr>
        <a:xfrm>
          <a:off x="8791579" y="134954963"/>
          <a:ext cx="9521" cy="10144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71438</xdr:colOff>
      <xdr:row>227</xdr:row>
      <xdr:rowOff>42863</xdr:rowOff>
    </xdr:from>
    <xdr:to>
      <xdr:col>19</xdr:col>
      <xdr:colOff>233363</xdr:colOff>
      <xdr:row>228</xdr:row>
      <xdr:rowOff>33338</xdr:rowOff>
    </xdr:to>
    <xdr:sp macro="" textlink="">
      <xdr:nvSpPr>
        <xdr:cNvPr id="347" name="Triángulo isósceles 346">
          <a:extLst>
            <a:ext uri="{FF2B5EF4-FFF2-40B4-BE49-F238E27FC236}">
              <a16:creationId xmlns:a16="http://schemas.microsoft.com/office/drawing/2014/main" id="{ED07DDC1-976B-4D51-B76A-2362CA0C2768}"/>
            </a:ext>
          </a:extLst>
        </xdr:cNvPr>
        <xdr:cNvSpPr/>
      </xdr:nvSpPr>
      <xdr:spPr>
        <a:xfrm rot="16200000">
          <a:off x="11601451" y="41976675"/>
          <a:ext cx="152400" cy="161925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19</xdr:col>
      <xdr:colOff>238125</xdr:colOff>
      <xdr:row>227</xdr:row>
      <xdr:rowOff>47625</xdr:rowOff>
    </xdr:from>
    <xdr:to>
      <xdr:col>19</xdr:col>
      <xdr:colOff>238125</xdr:colOff>
      <xdr:row>228</xdr:row>
      <xdr:rowOff>47625</xdr:rowOff>
    </xdr:to>
    <xdr:cxnSp macro="">
      <xdr:nvCxnSpPr>
        <xdr:cNvPr id="349" name="Conector recto 348">
          <a:extLst>
            <a:ext uri="{FF2B5EF4-FFF2-40B4-BE49-F238E27FC236}">
              <a16:creationId xmlns:a16="http://schemas.microsoft.com/office/drawing/2014/main" id="{A68E65A9-7829-4AF4-ACC1-8DB76D3497E0}"/>
            </a:ext>
          </a:extLst>
        </xdr:cNvPr>
        <xdr:cNvCxnSpPr/>
      </xdr:nvCxnSpPr>
      <xdr:spPr>
        <a:xfrm>
          <a:off x="11763375" y="41986200"/>
          <a:ext cx="0" cy="1619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123825</xdr:colOff>
      <xdr:row>116</xdr:row>
      <xdr:rowOff>123825</xdr:rowOff>
    </xdr:from>
    <xdr:to>
      <xdr:col>20</xdr:col>
      <xdr:colOff>133350</xdr:colOff>
      <xdr:row>118</xdr:row>
      <xdr:rowOff>0</xdr:rowOff>
    </xdr:to>
    <xdr:cxnSp macro="">
      <xdr:nvCxnSpPr>
        <xdr:cNvPr id="351" name="Conector recto 350">
          <a:extLst>
            <a:ext uri="{FF2B5EF4-FFF2-40B4-BE49-F238E27FC236}">
              <a16:creationId xmlns:a16="http://schemas.microsoft.com/office/drawing/2014/main" id="{76161667-7480-448D-A254-04804A5E707E}"/>
            </a:ext>
          </a:extLst>
        </xdr:cNvPr>
        <xdr:cNvCxnSpPr/>
      </xdr:nvCxnSpPr>
      <xdr:spPr>
        <a:xfrm flipH="1">
          <a:off x="11649075" y="21012150"/>
          <a:ext cx="9525" cy="200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700092</xdr:colOff>
      <xdr:row>117</xdr:row>
      <xdr:rowOff>80962</xdr:rowOff>
    </xdr:from>
    <xdr:to>
      <xdr:col>20</xdr:col>
      <xdr:colOff>123830</xdr:colOff>
      <xdr:row>118</xdr:row>
      <xdr:rowOff>104774</xdr:rowOff>
    </xdr:to>
    <xdr:sp macro="" textlink="">
      <xdr:nvSpPr>
        <xdr:cNvPr id="357" name="Triángulo isósceles 356">
          <a:extLst>
            <a:ext uri="{FF2B5EF4-FFF2-40B4-BE49-F238E27FC236}">
              <a16:creationId xmlns:a16="http://schemas.microsoft.com/office/drawing/2014/main" id="{1B133CFE-6E03-4E40-9ED3-C8BE79E424CB}"/>
            </a:ext>
          </a:extLst>
        </xdr:cNvPr>
        <xdr:cNvSpPr/>
      </xdr:nvSpPr>
      <xdr:spPr>
        <a:xfrm rot="16200000">
          <a:off x="11463342" y="19578637"/>
          <a:ext cx="185737" cy="185738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123825</xdr:colOff>
      <xdr:row>694</xdr:row>
      <xdr:rowOff>0</xdr:rowOff>
    </xdr:from>
    <xdr:to>
      <xdr:col>16</xdr:col>
      <xdr:colOff>671513</xdr:colOff>
      <xdr:row>694</xdr:row>
      <xdr:rowOff>0</xdr:rowOff>
    </xdr:to>
    <xdr:cxnSp macro="">
      <xdr:nvCxnSpPr>
        <xdr:cNvPr id="364" name="Conector recto 363">
          <a:extLst>
            <a:ext uri="{FF2B5EF4-FFF2-40B4-BE49-F238E27FC236}">
              <a16:creationId xmlns:a16="http://schemas.microsoft.com/office/drawing/2014/main" id="{375ED932-B604-46CD-AC22-2E66504EE8A3}"/>
            </a:ext>
          </a:extLst>
        </xdr:cNvPr>
        <xdr:cNvCxnSpPr>
          <a:stCxn id="341" idx="0"/>
        </xdr:cNvCxnSpPr>
      </xdr:nvCxnSpPr>
      <xdr:spPr>
        <a:xfrm flipH="1">
          <a:off x="10125075" y="105432225"/>
          <a:ext cx="5476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133350</xdr:colOff>
      <xdr:row>702</xdr:row>
      <xdr:rowOff>142875</xdr:rowOff>
    </xdr:from>
    <xdr:to>
      <xdr:col>16</xdr:col>
      <xdr:colOff>681038</xdr:colOff>
      <xdr:row>702</xdr:row>
      <xdr:rowOff>142875</xdr:rowOff>
    </xdr:to>
    <xdr:cxnSp macro="">
      <xdr:nvCxnSpPr>
        <xdr:cNvPr id="365" name="Conector recto 364">
          <a:extLst>
            <a:ext uri="{FF2B5EF4-FFF2-40B4-BE49-F238E27FC236}">
              <a16:creationId xmlns:a16="http://schemas.microsoft.com/office/drawing/2014/main" id="{C15C08C9-2212-4E06-B702-0C57506785B1}"/>
            </a:ext>
          </a:extLst>
        </xdr:cNvPr>
        <xdr:cNvCxnSpPr/>
      </xdr:nvCxnSpPr>
      <xdr:spPr>
        <a:xfrm flipH="1">
          <a:off x="10134600" y="106870500"/>
          <a:ext cx="5476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604838</xdr:colOff>
      <xdr:row>702</xdr:row>
      <xdr:rowOff>133350</xdr:rowOff>
    </xdr:from>
    <xdr:to>
      <xdr:col>16</xdr:col>
      <xdr:colOff>609600</xdr:colOff>
      <xdr:row>705</xdr:row>
      <xdr:rowOff>152400</xdr:rowOff>
    </xdr:to>
    <xdr:cxnSp macro="">
      <xdr:nvCxnSpPr>
        <xdr:cNvPr id="367" name="Conector recto 366">
          <a:extLst>
            <a:ext uri="{FF2B5EF4-FFF2-40B4-BE49-F238E27FC236}">
              <a16:creationId xmlns:a16="http://schemas.microsoft.com/office/drawing/2014/main" id="{854D81F2-7FE8-44CF-9E92-479FA3BC4436}"/>
            </a:ext>
          </a:extLst>
        </xdr:cNvPr>
        <xdr:cNvCxnSpPr/>
      </xdr:nvCxnSpPr>
      <xdr:spPr>
        <a:xfrm>
          <a:off x="10606088" y="106860975"/>
          <a:ext cx="4762" cy="5048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701</xdr:row>
      <xdr:rowOff>133350</xdr:rowOff>
    </xdr:from>
    <xdr:to>
      <xdr:col>18</xdr:col>
      <xdr:colOff>9525</xdr:colOff>
      <xdr:row>705</xdr:row>
      <xdr:rowOff>142875</xdr:rowOff>
    </xdr:to>
    <xdr:cxnSp macro="">
      <xdr:nvCxnSpPr>
        <xdr:cNvPr id="369" name="Conector recto 368">
          <a:extLst>
            <a:ext uri="{FF2B5EF4-FFF2-40B4-BE49-F238E27FC236}">
              <a16:creationId xmlns:a16="http://schemas.microsoft.com/office/drawing/2014/main" id="{4582C95A-0356-4001-9F73-C1B42B67113C}"/>
            </a:ext>
          </a:extLst>
        </xdr:cNvPr>
        <xdr:cNvCxnSpPr/>
      </xdr:nvCxnSpPr>
      <xdr:spPr>
        <a:xfrm>
          <a:off x="11534775" y="106699050"/>
          <a:ext cx="0" cy="657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695</xdr:row>
      <xdr:rowOff>9525</xdr:rowOff>
    </xdr:from>
    <xdr:to>
      <xdr:col>18</xdr:col>
      <xdr:colOff>752475</xdr:colOff>
      <xdr:row>695</xdr:row>
      <xdr:rowOff>9525</xdr:rowOff>
    </xdr:to>
    <xdr:cxnSp macro="">
      <xdr:nvCxnSpPr>
        <xdr:cNvPr id="372" name="Conector recto 371">
          <a:extLst>
            <a:ext uri="{FF2B5EF4-FFF2-40B4-BE49-F238E27FC236}">
              <a16:creationId xmlns:a16="http://schemas.microsoft.com/office/drawing/2014/main" id="{5E5D391F-735C-4D58-86DD-2E759266828E}"/>
            </a:ext>
          </a:extLst>
        </xdr:cNvPr>
        <xdr:cNvCxnSpPr/>
      </xdr:nvCxnSpPr>
      <xdr:spPr>
        <a:xfrm>
          <a:off x="11534775" y="105603675"/>
          <a:ext cx="742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701</xdr:row>
      <xdr:rowOff>152400</xdr:rowOff>
    </xdr:from>
    <xdr:to>
      <xdr:col>18</xdr:col>
      <xdr:colOff>752475</xdr:colOff>
      <xdr:row>701</xdr:row>
      <xdr:rowOff>152400</xdr:rowOff>
    </xdr:to>
    <xdr:cxnSp macro="">
      <xdr:nvCxnSpPr>
        <xdr:cNvPr id="373" name="Conector recto 372">
          <a:extLst>
            <a:ext uri="{FF2B5EF4-FFF2-40B4-BE49-F238E27FC236}">
              <a16:creationId xmlns:a16="http://schemas.microsoft.com/office/drawing/2014/main" id="{9BF8564E-9F5D-4724-A530-62D94D0E3187}"/>
            </a:ext>
          </a:extLst>
        </xdr:cNvPr>
        <xdr:cNvCxnSpPr/>
      </xdr:nvCxnSpPr>
      <xdr:spPr>
        <a:xfrm>
          <a:off x="11534775" y="106718100"/>
          <a:ext cx="742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123825</xdr:colOff>
      <xdr:row>694</xdr:row>
      <xdr:rowOff>28575</xdr:rowOff>
    </xdr:from>
    <xdr:to>
      <xdr:col>16</xdr:col>
      <xdr:colOff>133350</xdr:colOff>
      <xdr:row>702</xdr:row>
      <xdr:rowOff>104775</xdr:rowOff>
    </xdr:to>
    <xdr:cxnSp macro="">
      <xdr:nvCxnSpPr>
        <xdr:cNvPr id="375" name="Conector recto de flecha 374">
          <a:extLst>
            <a:ext uri="{FF2B5EF4-FFF2-40B4-BE49-F238E27FC236}">
              <a16:creationId xmlns:a16="http://schemas.microsoft.com/office/drawing/2014/main" id="{C381B28C-7D92-4A18-9E40-F6DD18CF6070}"/>
            </a:ext>
          </a:extLst>
        </xdr:cNvPr>
        <xdr:cNvCxnSpPr/>
      </xdr:nvCxnSpPr>
      <xdr:spPr>
        <a:xfrm flipH="1">
          <a:off x="10125075" y="105460800"/>
          <a:ext cx="9525" cy="13716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666750</xdr:colOff>
      <xdr:row>705</xdr:row>
      <xdr:rowOff>142875</xdr:rowOff>
    </xdr:from>
    <xdr:to>
      <xdr:col>17</xdr:col>
      <xdr:colOff>723900</xdr:colOff>
      <xdr:row>705</xdr:row>
      <xdr:rowOff>142875</xdr:rowOff>
    </xdr:to>
    <xdr:cxnSp macro="">
      <xdr:nvCxnSpPr>
        <xdr:cNvPr id="378" name="Conector recto de flecha 377">
          <a:extLst>
            <a:ext uri="{FF2B5EF4-FFF2-40B4-BE49-F238E27FC236}">
              <a16:creationId xmlns:a16="http://schemas.microsoft.com/office/drawing/2014/main" id="{C9DE5262-E859-417F-8457-4868B3AA585F}"/>
            </a:ext>
          </a:extLst>
        </xdr:cNvPr>
        <xdr:cNvCxnSpPr/>
      </xdr:nvCxnSpPr>
      <xdr:spPr>
        <a:xfrm>
          <a:off x="10668000" y="107356275"/>
          <a:ext cx="81915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695</xdr:row>
      <xdr:rowOff>66675</xdr:rowOff>
    </xdr:from>
    <xdr:to>
      <xdr:col>19</xdr:col>
      <xdr:colOff>0</xdr:colOff>
      <xdr:row>701</xdr:row>
      <xdr:rowOff>114300</xdr:rowOff>
    </xdr:to>
    <xdr:cxnSp macro="">
      <xdr:nvCxnSpPr>
        <xdr:cNvPr id="380" name="Conector recto de flecha 379">
          <a:extLst>
            <a:ext uri="{FF2B5EF4-FFF2-40B4-BE49-F238E27FC236}">
              <a16:creationId xmlns:a16="http://schemas.microsoft.com/office/drawing/2014/main" id="{4E72CFF7-9CDC-4750-B5E6-1193F2334B57}"/>
            </a:ext>
          </a:extLst>
        </xdr:cNvPr>
        <xdr:cNvCxnSpPr/>
      </xdr:nvCxnSpPr>
      <xdr:spPr>
        <a:xfrm>
          <a:off x="12287250" y="105660825"/>
          <a:ext cx="0" cy="10191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697</xdr:row>
      <xdr:rowOff>57150</xdr:rowOff>
    </xdr:from>
    <xdr:to>
      <xdr:col>16</xdr:col>
      <xdr:colOff>36150</xdr:colOff>
      <xdr:row>699</xdr:row>
      <xdr:rowOff>93300</xdr:rowOff>
    </xdr:to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65F37EFE-3387-4966-89BE-9BB13CD3C985}"/>
            </a:ext>
          </a:extLst>
        </xdr:cNvPr>
        <xdr:cNvSpPr txBox="1"/>
      </xdr:nvSpPr>
      <xdr:spPr>
        <a:xfrm>
          <a:off x="8153400" y="1058227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17</xdr:col>
      <xdr:colOff>180975</xdr:colOff>
      <xdr:row>706</xdr:row>
      <xdr:rowOff>66675</xdr:rowOff>
    </xdr:from>
    <xdr:to>
      <xdr:col>17</xdr:col>
      <xdr:colOff>540975</xdr:colOff>
      <xdr:row>708</xdr:row>
      <xdr:rowOff>0</xdr:rowOff>
    </xdr:to>
    <xdr:sp macro="" textlink="">
      <xdr:nvSpPr>
        <xdr:cNvPr id="382" name="CuadroTexto 381">
          <a:extLst>
            <a:ext uri="{FF2B5EF4-FFF2-40B4-BE49-F238E27FC236}">
              <a16:creationId xmlns:a16="http://schemas.microsoft.com/office/drawing/2014/main" id="{314DB956-8D29-449E-BE82-1294E6DBA23D}"/>
            </a:ext>
          </a:extLst>
        </xdr:cNvPr>
        <xdr:cNvSpPr txBox="1"/>
      </xdr:nvSpPr>
      <xdr:spPr>
        <a:xfrm>
          <a:off x="10944225" y="1074420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19</xdr:col>
      <xdr:colOff>95250</xdr:colOff>
      <xdr:row>697</xdr:row>
      <xdr:rowOff>57150</xdr:rowOff>
    </xdr:from>
    <xdr:to>
      <xdr:col>19</xdr:col>
      <xdr:colOff>455250</xdr:colOff>
      <xdr:row>699</xdr:row>
      <xdr:rowOff>93300</xdr:rowOff>
    </xdr:to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2D2D5B97-5538-4039-90F1-126CBEB3BA56}"/>
            </a:ext>
          </a:extLst>
        </xdr:cNvPr>
        <xdr:cNvSpPr txBox="1"/>
      </xdr:nvSpPr>
      <xdr:spPr>
        <a:xfrm>
          <a:off x="12382500" y="1059751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16</xdr:col>
      <xdr:colOff>742950</xdr:colOff>
      <xdr:row>294</xdr:row>
      <xdr:rowOff>114300</xdr:rowOff>
    </xdr:from>
    <xdr:to>
      <xdr:col>16</xdr:col>
      <xdr:colOff>752475</xdr:colOff>
      <xdr:row>296</xdr:row>
      <xdr:rowOff>19050</xdr:rowOff>
    </xdr:to>
    <xdr:cxnSp macro="">
      <xdr:nvCxnSpPr>
        <xdr:cNvPr id="386" name="Conector recto 385">
          <a:extLst>
            <a:ext uri="{FF2B5EF4-FFF2-40B4-BE49-F238E27FC236}">
              <a16:creationId xmlns:a16="http://schemas.microsoft.com/office/drawing/2014/main" id="{454E6DD7-E66A-48EA-8A40-B31BA922469B}"/>
            </a:ext>
          </a:extLst>
        </xdr:cNvPr>
        <xdr:cNvCxnSpPr/>
      </xdr:nvCxnSpPr>
      <xdr:spPr>
        <a:xfrm>
          <a:off x="10744200" y="54197250"/>
          <a:ext cx="9525" cy="390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542925</xdr:colOff>
      <xdr:row>293</xdr:row>
      <xdr:rowOff>57150</xdr:rowOff>
    </xdr:from>
    <xdr:to>
      <xdr:col>17</xdr:col>
      <xdr:colOff>552450</xdr:colOff>
      <xdr:row>296</xdr:row>
      <xdr:rowOff>9525</xdr:rowOff>
    </xdr:to>
    <xdr:cxnSp macro="">
      <xdr:nvCxnSpPr>
        <xdr:cNvPr id="388" name="Conector recto 387">
          <a:extLst>
            <a:ext uri="{FF2B5EF4-FFF2-40B4-BE49-F238E27FC236}">
              <a16:creationId xmlns:a16="http://schemas.microsoft.com/office/drawing/2014/main" id="{A511EB71-768A-4E20-97E2-258A9350ADD5}"/>
            </a:ext>
          </a:extLst>
        </xdr:cNvPr>
        <xdr:cNvCxnSpPr/>
      </xdr:nvCxnSpPr>
      <xdr:spPr>
        <a:xfrm>
          <a:off x="9020175" y="60388500"/>
          <a:ext cx="9525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</xdr:colOff>
      <xdr:row>296</xdr:row>
      <xdr:rowOff>0</xdr:rowOff>
    </xdr:from>
    <xdr:to>
      <xdr:col>17</xdr:col>
      <xdr:colOff>514350</xdr:colOff>
      <xdr:row>296</xdr:row>
      <xdr:rowOff>0</xdr:rowOff>
    </xdr:to>
    <xdr:cxnSp macro="">
      <xdr:nvCxnSpPr>
        <xdr:cNvPr id="394" name="Conector recto de flecha 393">
          <a:extLst>
            <a:ext uri="{FF2B5EF4-FFF2-40B4-BE49-F238E27FC236}">
              <a16:creationId xmlns:a16="http://schemas.microsoft.com/office/drawing/2014/main" id="{510C748A-69FE-4C7F-A799-E17C2985BEBF}"/>
            </a:ext>
          </a:extLst>
        </xdr:cNvPr>
        <xdr:cNvCxnSpPr/>
      </xdr:nvCxnSpPr>
      <xdr:spPr>
        <a:xfrm>
          <a:off x="8524875" y="60931425"/>
          <a:ext cx="4667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95250</xdr:colOff>
      <xdr:row>296</xdr:row>
      <xdr:rowOff>104775</xdr:rowOff>
    </xdr:from>
    <xdr:to>
      <xdr:col>17</xdr:col>
      <xdr:colOff>455250</xdr:colOff>
      <xdr:row>298</xdr:row>
      <xdr:rowOff>140925</xdr:rowOff>
    </xdr:to>
    <xdr:sp macro="" textlink="">
      <xdr:nvSpPr>
        <xdr:cNvPr id="398" name="CuadroTexto 397">
          <a:extLst>
            <a:ext uri="{FF2B5EF4-FFF2-40B4-BE49-F238E27FC236}">
              <a16:creationId xmlns:a16="http://schemas.microsoft.com/office/drawing/2014/main" id="{0876A61C-C6DF-4463-8A04-BC2E8E1F9D2E}"/>
            </a:ext>
          </a:extLst>
        </xdr:cNvPr>
        <xdr:cNvSpPr txBox="1"/>
      </xdr:nvSpPr>
      <xdr:spPr>
        <a:xfrm>
          <a:off x="10858500" y="5467350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17</xdr:col>
      <xdr:colOff>428625</xdr:colOff>
      <xdr:row>294</xdr:row>
      <xdr:rowOff>28575</xdr:rowOff>
    </xdr:from>
    <xdr:to>
      <xdr:col>18</xdr:col>
      <xdr:colOff>200025</xdr:colOff>
      <xdr:row>294</xdr:row>
      <xdr:rowOff>28575</xdr:rowOff>
    </xdr:to>
    <xdr:cxnSp macro="">
      <xdr:nvCxnSpPr>
        <xdr:cNvPr id="400" name="Conector recto 399">
          <a:extLst>
            <a:ext uri="{FF2B5EF4-FFF2-40B4-BE49-F238E27FC236}">
              <a16:creationId xmlns:a16="http://schemas.microsoft.com/office/drawing/2014/main" id="{44B59D36-B3F8-4437-8D46-DA93512863F2}"/>
            </a:ext>
          </a:extLst>
        </xdr:cNvPr>
        <xdr:cNvCxnSpPr/>
      </xdr:nvCxnSpPr>
      <xdr:spPr>
        <a:xfrm>
          <a:off x="11191875" y="54111525"/>
          <a:ext cx="533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371475</xdr:colOff>
      <xdr:row>291</xdr:row>
      <xdr:rowOff>95250</xdr:rowOff>
    </xdr:from>
    <xdr:to>
      <xdr:col>18</xdr:col>
      <xdr:colOff>209550</xdr:colOff>
      <xdr:row>291</xdr:row>
      <xdr:rowOff>104775</xdr:rowOff>
    </xdr:to>
    <xdr:cxnSp macro="">
      <xdr:nvCxnSpPr>
        <xdr:cNvPr id="402" name="Conector recto 401">
          <a:extLst>
            <a:ext uri="{FF2B5EF4-FFF2-40B4-BE49-F238E27FC236}">
              <a16:creationId xmlns:a16="http://schemas.microsoft.com/office/drawing/2014/main" id="{19A82BF9-B996-456A-AF35-3DEB705391BA}"/>
            </a:ext>
          </a:extLst>
        </xdr:cNvPr>
        <xdr:cNvCxnSpPr/>
      </xdr:nvCxnSpPr>
      <xdr:spPr>
        <a:xfrm>
          <a:off x="11134725" y="53692425"/>
          <a:ext cx="6000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190500</xdr:colOff>
      <xdr:row>291</xdr:row>
      <xdr:rowOff>123825</xdr:rowOff>
    </xdr:from>
    <xdr:to>
      <xdr:col>18</xdr:col>
      <xdr:colOff>190500</xdr:colOff>
      <xdr:row>294</xdr:row>
      <xdr:rowOff>0</xdr:rowOff>
    </xdr:to>
    <xdr:cxnSp macro="">
      <xdr:nvCxnSpPr>
        <xdr:cNvPr id="406" name="Conector recto de flecha 405">
          <a:extLst>
            <a:ext uri="{FF2B5EF4-FFF2-40B4-BE49-F238E27FC236}">
              <a16:creationId xmlns:a16="http://schemas.microsoft.com/office/drawing/2014/main" id="{5BB1ADB2-E781-4D9C-99D8-F09DE48C2D98}"/>
            </a:ext>
          </a:extLst>
        </xdr:cNvPr>
        <xdr:cNvCxnSpPr/>
      </xdr:nvCxnSpPr>
      <xdr:spPr>
        <a:xfrm>
          <a:off x="10191750" y="48663225"/>
          <a:ext cx="0" cy="3619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304799</xdr:colOff>
      <xdr:row>291</xdr:row>
      <xdr:rowOff>114300</xdr:rowOff>
    </xdr:from>
    <xdr:to>
      <xdr:col>18</xdr:col>
      <xdr:colOff>664799</xdr:colOff>
      <xdr:row>293</xdr:row>
      <xdr:rowOff>150450</xdr:rowOff>
    </xdr:to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19459D62-392B-499D-A3AD-3CFACF260035}"/>
            </a:ext>
          </a:extLst>
        </xdr:cNvPr>
        <xdr:cNvSpPr txBox="1"/>
      </xdr:nvSpPr>
      <xdr:spPr>
        <a:xfrm>
          <a:off x="11830049" y="5371147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21</xdr:col>
      <xdr:colOff>34823</xdr:colOff>
      <xdr:row>378</xdr:row>
      <xdr:rowOff>155521</xdr:rowOff>
    </xdr:from>
    <xdr:to>
      <xdr:col>21</xdr:col>
      <xdr:colOff>38100</xdr:colOff>
      <xdr:row>380</xdr:row>
      <xdr:rowOff>85725</xdr:rowOff>
    </xdr:to>
    <xdr:cxnSp macro="">
      <xdr:nvCxnSpPr>
        <xdr:cNvPr id="428" name="Conector recto 427">
          <a:extLst>
            <a:ext uri="{FF2B5EF4-FFF2-40B4-BE49-F238E27FC236}">
              <a16:creationId xmlns:a16="http://schemas.microsoft.com/office/drawing/2014/main" id="{2797F875-4365-4C41-9DBA-EC28BB6E00F5}"/>
            </a:ext>
          </a:extLst>
        </xdr:cNvPr>
        <xdr:cNvCxnSpPr>
          <a:stCxn id="46" idx="2"/>
        </xdr:cNvCxnSpPr>
      </xdr:nvCxnSpPr>
      <xdr:spPr>
        <a:xfrm>
          <a:off x="12322073" y="68021146"/>
          <a:ext cx="3277" cy="254054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76200</xdr:colOff>
      <xdr:row>13</xdr:row>
      <xdr:rowOff>19050</xdr:rowOff>
    </xdr:from>
    <xdr:to>
      <xdr:col>22</xdr:col>
      <xdr:colOff>76200</xdr:colOff>
      <xdr:row>14</xdr:row>
      <xdr:rowOff>152400</xdr:rowOff>
    </xdr:to>
    <xdr:cxnSp macro="">
      <xdr:nvCxnSpPr>
        <xdr:cNvPr id="96" name="Conector recto de flecha 95">
          <a:extLst>
            <a:ext uri="{FF2B5EF4-FFF2-40B4-BE49-F238E27FC236}">
              <a16:creationId xmlns:a16="http://schemas.microsoft.com/office/drawing/2014/main" id="{1E0A1132-B6EC-4DAF-BDBE-E09EB351A21A}"/>
            </a:ext>
          </a:extLst>
        </xdr:cNvPr>
        <xdr:cNvCxnSpPr/>
      </xdr:nvCxnSpPr>
      <xdr:spPr>
        <a:xfrm>
          <a:off x="13125450" y="2124075"/>
          <a:ext cx="0" cy="2952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467877</xdr:colOff>
      <xdr:row>116</xdr:row>
      <xdr:rowOff>29522</xdr:rowOff>
    </xdr:from>
    <xdr:to>
      <xdr:col>22</xdr:col>
      <xdr:colOff>323850</xdr:colOff>
      <xdr:row>116</xdr:row>
      <xdr:rowOff>38100</xdr:rowOff>
    </xdr:to>
    <xdr:cxnSp macro="">
      <xdr:nvCxnSpPr>
        <xdr:cNvPr id="146" name="Conector recto 145">
          <a:extLst>
            <a:ext uri="{FF2B5EF4-FFF2-40B4-BE49-F238E27FC236}">
              <a16:creationId xmlns:a16="http://schemas.microsoft.com/office/drawing/2014/main" id="{0430B109-C3EC-46C1-87E7-F24AA2848058}"/>
            </a:ext>
          </a:extLst>
        </xdr:cNvPr>
        <xdr:cNvCxnSpPr/>
      </xdr:nvCxnSpPr>
      <xdr:spPr>
        <a:xfrm>
          <a:off x="11231127" y="19365272"/>
          <a:ext cx="2141973" cy="85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9526</xdr:colOff>
      <xdr:row>194</xdr:row>
      <xdr:rowOff>19049</xdr:rowOff>
    </xdr:from>
    <xdr:to>
      <xdr:col>19</xdr:col>
      <xdr:colOff>142876</xdr:colOff>
      <xdr:row>194</xdr:row>
      <xdr:rowOff>152399</xdr:rowOff>
    </xdr:to>
    <xdr:sp macro="" textlink="">
      <xdr:nvSpPr>
        <xdr:cNvPr id="185" name="Triángulo isósceles 184">
          <a:extLst>
            <a:ext uri="{FF2B5EF4-FFF2-40B4-BE49-F238E27FC236}">
              <a16:creationId xmlns:a16="http://schemas.microsoft.com/office/drawing/2014/main" id="{F3C6D6C9-7DAE-4A9B-8ABC-E1C9CCE3AB2E}"/>
            </a:ext>
          </a:extLst>
        </xdr:cNvPr>
        <xdr:cNvSpPr/>
      </xdr:nvSpPr>
      <xdr:spPr>
        <a:xfrm rot="16200000">
          <a:off x="11534776" y="31680149"/>
          <a:ext cx="133350" cy="133350"/>
        </a:xfrm>
        <a:prstGeom prst="triangle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14</xdr:col>
      <xdr:colOff>352424</xdr:colOff>
      <xdr:row>315</xdr:row>
      <xdr:rowOff>66675</xdr:rowOff>
    </xdr:from>
    <xdr:to>
      <xdr:col>14</xdr:col>
      <xdr:colOff>712424</xdr:colOff>
      <xdr:row>317</xdr:row>
      <xdr:rowOff>102825</xdr:rowOff>
    </xdr:to>
    <xdr:sp macro="" textlink="">
      <xdr:nvSpPr>
        <xdr:cNvPr id="119" name="CuadroTexto 118">
          <a:extLst>
            <a:ext uri="{FF2B5EF4-FFF2-40B4-BE49-F238E27FC236}">
              <a16:creationId xmlns:a16="http://schemas.microsoft.com/office/drawing/2014/main" id="{336FB94E-5798-458F-BF09-FAC699C2029B}"/>
            </a:ext>
          </a:extLst>
        </xdr:cNvPr>
        <xdr:cNvSpPr txBox="1"/>
      </xdr:nvSpPr>
      <xdr:spPr>
        <a:xfrm>
          <a:off x="8067674" y="525113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es-AR" sz="2400"/>
            <a:t>A</a:t>
          </a:r>
        </a:p>
      </xdr:txBody>
    </xdr:sp>
    <xdr:clientData/>
  </xdr:twoCellAnchor>
  <xdr:twoCellAnchor>
    <xdr:from>
      <xdr:col>20</xdr:col>
      <xdr:colOff>104775</xdr:colOff>
      <xdr:row>348</xdr:row>
      <xdr:rowOff>95249</xdr:rowOff>
    </xdr:from>
    <xdr:to>
      <xdr:col>20</xdr:col>
      <xdr:colOff>409575</xdr:colOff>
      <xdr:row>349</xdr:row>
      <xdr:rowOff>57149</xdr:rowOff>
    </xdr:to>
    <xdr:sp macro="" textlink="">
      <xdr:nvSpPr>
        <xdr:cNvPr id="122" name="Es igual a 121">
          <a:extLst>
            <a:ext uri="{FF2B5EF4-FFF2-40B4-BE49-F238E27FC236}">
              <a16:creationId xmlns:a16="http://schemas.microsoft.com/office/drawing/2014/main" id="{1285315D-5367-46B5-BC2E-F464AF621E9F}"/>
            </a:ext>
          </a:extLst>
        </xdr:cNvPr>
        <xdr:cNvSpPr/>
      </xdr:nvSpPr>
      <xdr:spPr>
        <a:xfrm>
          <a:off x="12392025" y="58064399"/>
          <a:ext cx="304800" cy="123825"/>
        </a:xfrm>
        <a:prstGeom prst="mathEqual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542925</xdr:colOff>
      <xdr:row>357</xdr:row>
      <xdr:rowOff>19050</xdr:rowOff>
    </xdr:from>
    <xdr:to>
      <xdr:col>19</xdr:col>
      <xdr:colOff>85725</xdr:colOff>
      <xdr:row>357</xdr:row>
      <xdr:rowOff>133350</xdr:rowOff>
    </xdr:to>
    <xdr:sp macro="" textlink="">
      <xdr:nvSpPr>
        <xdr:cNvPr id="300" name="Es igual a 299">
          <a:extLst>
            <a:ext uri="{FF2B5EF4-FFF2-40B4-BE49-F238E27FC236}">
              <a16:creationId xmlns:a16="http://schemas.microsoft.com/office/drawing/2014/main" id="{B5EDF4F4-F512-4718-A5CE-0A3027898D65}"/>
            </a:ext>
          </a:extLst>
        </xdr:cNvPr>
        <xdr:cNvSpPr/>
      </xdr:nvSpPr>
      <xdr:spPr>
        <a:xfrm>
          <a:off x="11306175" y="59445525"/>
          <a:ext cx="304800" cy="114300"/>
        </a:xfrm>
        <a:prstGeom prst="mathEqual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333376</xdr:colOff>
      <xdr:row>542</xdr:row>
      <xdr:rowOff>57149</xdr:rowOff>
    </xdr:from>
    <xdr:to>
      <xdr:col>16</xdr:col>
      <xdr:colOff>495303</xdr:colOff>
      <xdr:row>547</xdr:row>
      <xdr:rowOff>104773</xdr:rowOff>
    </xdr:to>
    <xdr:sp macro="" textlink="">
      <xdr:nvSpPr>
        <xdr:cNvPr id="183" name="Diagrama de flujo: operación manual 182">
          <a:extLst>
            <a:ext uri="{FF2B5EF4-FFF2-40B4-BE49-F238E27FC236}">
              <a16:creationId xmlns:a16="http://schemas.microsoft.com/office/drawing/2014/main" id="{16992F88-5F73-4C28-B09C-74F303BE93E9}"/>
            </a:ext>
          </a:extLst>
        </xdr:cNvPr>
        <xdr:cNvSpPr/>
      </xdr:nvSpPr>
      <xdr:spPr>
        <a:xfrm rot="16200000">
          <a:off x="8462965" y="86015510"/>
          <a:ext cx="857249" cy="161927"/>
        </a:xfrm>
        <a:prstGeom prst="flowChartManualOperation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495299</xdr:colOff>
      <xdr:row>543</xdr:row>
      <xdr:rowOff>76200</xdr:rowOff>
    </xdr:from>
    <xdr:to>
      <xdr:col>17</xdr:col>
      <xdr:colOff>619124</xdr:colOff>
      <xdr:row>546</xdr:row>
      <xdr:rowOff>85725</xdr:rowOff>
    </xdr:to>
    <xdr:sp macro="" textlink="">
      <xdr:nvSpPr>
        <xdr:cNvPr id="188" name="Rectángulo 187">
          <a:extLst>
            <a:ext uri="{FF2B5EF4-FFF2-40B4-BE49-F238E27FC236}">
              <a16:creationId xmlns:a16="http://schemas.microsoft.com/office/drawing/2014/main" id="{1AA57113-61D6-4DC0-9F0C-96A082688545}"/>
            </a:ext>
          </a:extLst>
        </xdr:cNvPr>
        <xdr:cNvSpPr/>
      </xdr:nvSpPr>
      <xdr:spPr>
        <a:xfrm>
          <a:off x="8972549" y="85848825"/>
          <a:ext cx="885825" cy="49530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14</xdr:col>
      <xdr:colOff>714375</xdr:colOff>
      <xdr:row>542</xdr:row>
      <xdr:rowOff>57150</xdr:rowOff>
    </xdr:from>
    <xdr:to>
      <xdr:col>16</xdr:col>
      <xdr:colOff>333375</xdr:colOff>
      <xdr:row>542</xdr:row>
      <xdr:rowOff>57150</xdr:rowOff>
    </xdr:to>
    <xdr:cxnSp macro="">
      <xdr:nvCxnSpPr>
        <xdr:cNvPr id="200" name="Conector recto 199">
          <a:extLst>
            <a:ext uri="{FF2B5EF4-FFF2-40B4-BE49-F238E27FC236}">
              <a16:creationId xmlns:a16="http://schemas.microsoft.com/office/drawing/2014/main" id="{EA034236-3AFE-4FF5-A679-0660FE68F736}"/>
            </a:ext>
          </a:extLst>
        </xdr:cNvPr>
        <xdr:cNvCxnSpPr/>
      </xdr:nvCxnSpPr>
      <xdr:spPr>
        <a:xfrm flipH="1">
          <a:off x="8429625" y="85667850"/>
          <a:ext cx="381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704850</xdr:colOff>
      <xdr:row>547</xdr:row>
      <xdr:rowOff>104775</xdr:rowOff>
    </xdr:from>
    <xdr:to>
      <xdr:col>16</xdr:col>
      <xdr:colOff>323850</xdr:colOff>
      <xdr:row>547</xdr:row>
      <xdr:rowOff>104775</xdr:rowOff>
    </xdr:to>
    <xdr:cxnSp macro="">
      <xdr:nvCxnSpPr>
        <xdr:cNvPr id="315" name="Conector recto 314">
          <a:extLst>
            <a:ext uri="{FF2B5EF4-FFF2-40B4-BE49-F238E27FC236}">
              <a16:creationId xmlns:a16="http://schemas.microsoft.com/office/drawing/2014/main" id="{5091261E-7B60-4AE1-8D7F-1FB6DFA48488}"/>
            </a:ext>
          </a:extLst>
        </xdr:cNvPr>
        <xdr:cNvCxnSpPr/>
      </xdr:nvCxnSpPr>
      <xdr:spPr>
        <a:xfrm flipH="1">
          <a:off x="8420100" y="86525100"/>
          <a:ext cx="381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342900</xdr:colOff>
      <xdr:row>547</xdr:row>
      <xdr:rowOff>95250</xdr:rowOff>
    </xdr:from>
    <xdr:to>
      <xdr:col>16</xdr:col>
      <xdr:colOff>352425</xdr:colOff>
      <xdr:row>549</xdr:row>
      <xdr:rowOff>152400</xdr:rowOff>
    </xdr:to>
    <xdr:cxnSp macro="">
      <xdr:nvCxnSpPr>
        <xdr:cNvPr id="207" name="Conector recto 206">
          <a:extLst>
            <a:ext uri="{FF2B5EF4-FFF2-40B4-BE49-F238E27FC236}">
              <a16:creationId xmlns:a16="http://schemas.microsoft.com/office/drawing/2014/main" id="{42382023-38EA-4171-86E2-2A33A02A3829}"/>
            </a:ext>
          </a:extLst>
        </xdr:cNvPr>
        <xdr:cNvCxnSpPr/>
      </xdr:nvCxnSpPr>
      <xdr:spPr>
        <a:xfrm>
          <a:off x="8820150" y="86515575"/>
          <a:ext cx="9525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619125</xdr:colOff>
      <xdr:row>546</xdr:row>
      <xdr:rowOff>85725</xdr:rowOff>
    </xdr:from>
    <xdr:to>
      <xdr:col>17</xdr:col>
      <xdr:colOff>619125</xdr:colOff>
      <xdr:row>549</xdr:row>
      <xdr:rowOff>142875</xdr:rowOff>
    </xdr:to>
    <xdr:cxnSp macro="">
      <xdr:nvCxnSpPr>
        <xdr:cNvPr id="317" name="Conector recto 316">
          <a:extLst>
            <a:ext uri="{FF2B5EF4-FFF2-40B4-BE49-F238E27FC236}">
              <a16:creationId xmlns:a16="http://schemas.microsoft.com/office/drawing/2014/main" id="{A264E125-9F3B-419E-B958-31520A8556CD}"/>
            </a:ext>
          </a:extLst>
        </xdr:cNvPr>
        <xdr:cNvCxnSpPr/>
      </xdr:nvCxnSpPr>
      <xdr:spPr>
        <a:xfrm>
          <a:off x="9858375" y="86344125"/>
          <a:ext cx="0" cy="542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619125</xdr:colOff>
      <xdr:row>546</xdr:row>
      <xdr:rowOff>85725</xdr:rowOff>
    </xdr:from>
    <xdr:to>
      <xdr:col>18</xdr:col>
      <xdr:colOff>466725</xdr:colOff>
      <xdr:row>546</xdr:row>
      <xdr:rowOff>85725</xdr:rowOff>
    </xdr:to>
    <xdr:cxnSp macro="">
      <xdr:nvCxnSpPr>
        <xdr:cNvPr id="218" name="Conector recto 217">
          <a:extLst>
            <a:ext uri="{FF2B5EF4-FFF2-40B4-BE49-F238E27FC236}">
              <a16:creationId xmlns:a16="http://schemas.microsoft.com/office/drawing/2014/main" id="{5174A0F9-EBED-4571-8892-112A3F5BF46E}"/>
            </a:ext>
          </a:extLst>
        </xdr:cNvPr>
        <xdr:cNvCxnSpPr/>
      </xdr:nvCxnSpPr>
      <xdr:spPr>
        <a:xfrm>
          <a:off x="9858375" y="86344125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619125</xdr:colOff>
      <xdr:row>543</xdr:row>
      <xdr:rowOff>76200</xdr:rowOff>
    </xdr:from>
    <xdr:to>
      <xdr:col>18</xdr:col>
      <xdr:colOff>466725</xdr:colOff>
      <xdr:row>543</xdr:row>
      <xdr:rowOff>76200</xdr:rowOff>
    </xdr:to>
    <xdr:cxnSp macro="">
      <xdr:nvCxnSpPr>
        <xdr:cNvPr id="323" name="Conector recto 322">
          <a:extLst>
            <a:ext uri="{FF2B5EF4-FFF2-40B4-BE49-F238E27FC236}">
              <a16:creationId xmlns:a16="http://schemas.microsoft.com/office/drawing/2014/main" id="{2068F473-E63D-4661-9E1A-568F6DDC5B38}"/>
            </a:ext>
          </a:extLst>
        </xdr:cNvPr>
        <xdr:cNvCxnSpPr/>
      </xdr:nvCxnSpPr>
      <xdr:spPr>
        <a:xfrm>
          <a:off x="9858375" y="85848825"/>
          <a:ext cx="609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714375</xdr:colOff>
      <xdr:row>542</xdr:row>
      <xdr:rowOff>85725</xdr:rowOff>
    </xdr:from>
    <xdr:to>
      <xdr:col>14</xdr:col>
      <xdr:colOff>723900</xdr:colOff>
      <xdr:row>547</xdr:row>
      <xdr:rowOff>66675</xdr:rowOff>
    </xdr:to>
    <xdr:cxnSp macro="">
      <xdr:nvCxnSpPr>
        <xdr:cNvPr id="232" name="Conector recto de flecha 231">
          <a:extLst>
            <a:ext uri="{FF2B5EF4-FFF2-40B4-BE49-F238E27FC236}">
              <a16:creationId xmlns:a16="http://schemas.microsoft.com/office/drawing/2014/main" id="{75786F26-926A-4C78-8280-E7B8C2FDE0F0}"/>
            </a:ext>
          </a:extLst>
        </xdr:cNvPr>
        <xdr:cNvCxnSpPr/>
      </xdr:nvCxnSpPr>
      <xdr:spPr>
        <a:xfrm>
          <a:off x="8429625" y="85696425"/>
          <a:ext cx="9525" cy="7905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371475</xdr:colOff>
      <xdr:row>549</xdr:row>
      <xdr:rowOff>133350</xdr:rowOff>
    </xdr:from>
    <xdr:to>
      <xdr:col>17</xdr:col>
      <xdr:colOff>600075</xdr:colOff>
      <xdr:row>549</xdr:row>
      <xdr:rowOff>133351</xdr:rowOff>
    </xdr:to>
    <xdr:cxnSp macro="">
      <xdr:nvCxnSpPr>
        <xdr:cNvPr id="241" name="Conector recto de flecha 240">
          <a:extLst>
            <a:ext uri="{FF2B5EF4-FFF2-40B4-BE49-F238E27FC236}">
              <a16:creationId xmlns:a16="http://schemas.microsoft.com/office/drawing/2014/main" id="{F7CD8A8F-61ED-48A3-8299-35A17BFEF598}"/>
            </a:ext>
          </a:extLst>
        </xdr:cNvPr>
        <xdr:cNvCxnSpPr/>
      </xdr:nvCxnSpPr>
      <xdr:spPr>
        <a:xfrm flipV="1">
          <a:off x="8848725" y="86877525"/>
          <a:ext cx="990600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543</xdr:row>
      <xdr:rowOff>114300</xdr:rowOff>
    </xdr:from>
    <xdr:to>
      <xdr:col>18</xdr:col>
      <xdr:colOff>428625</xdr:colOff>
      <xdr:row>546</xdr:row>
      <xdr:rowOff>66675</xdr:rowOff>
    </xdr:to>
    <xdr:cxnSp macro="">
      <xdr:nvCxnSpPr>
        <xdr:cNvPr id="250" name="Conector recto de flecha 249">
          <a:extLst>
            <a:ext uri="{FF2B5EF4-FFF2-40B4-BE49-F238E27FC236}">
              <a16:creationId xmlns:a16="http://schemas.microsoft.com/office/drawing/2014/main" id="{35735269-6A8A-4433-9136-B98223412B84}"/>
            </a:ext>
          </a:extLst>
        </xdr:cNvPr>
        <xdr:cNvCxnSpPr/>
      </xdr:nvCxnSpPr>
      <xdr:spPr>
        <a:xfrm>
          <a:off x="10429875" y="85886925"/>
          <a:ext cx="0" cy="4381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543</xdr:row>
      <xdr:rowOff>114300</xdr:rowOff>
    </xdr:from>
    <xdr:to>
      <xdr:col>14</xdr:col>
      <xdr:colOff>636225</xdr:colOff>
      <xdr:row>545</xdr:row>
      <xdr:rowOff>150450</xdr:rowOff>
    </xdr:to>
    <xdr:sp macro="" textlink="">
      <xdr:nvSpPr>
        <xdr:cNvPr id="263" name="CuadroTexto 262">
          <a:extLst>
            <a:ext uri="{FF2B5EF4-FFF2-40B4-BE49-F238E27FC236}">
              <a16:creationId xmlns:a16="http://schemas.microsoft.com/office/drawing/2014/main" id="{5B8D9AD3-6556-471E-9C19-D0D5645F3D9D}"/>
            </a:ext>
          </a:extLst>
        </xdr:cNvPr>
        <xdr:cNvSpPr txBox="1"/>
      </xdr:nvSpPr>
      <xdr:spPr>
        <a:xfrm>
          <a:off x="7991475" y="858869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  <a:endParaRPr lang="es-AR" sz="1100"/>
        </a:p>
      </xdr:txBody>
    </xdr:sp>
    <xdr:clientData/>
  </xdr:twoCellAnchor>
  <xdr:twoCellAnchor>
    <xdr:from>
      <xdr:col>18</xdr:col>
      <xdr:colOff>533400</xdr:colOff>
      <xdr:row>543</xdr:row>
      <xdr:rowOff>133350</xdr:rowOff>
    </xdr:from>
    <xdr:to>
      <xdr:col>19</xdr:col>
      <xdr:colOff>131400</xdr:colOff>
      <xdr:row>546</xdr:row>
      <xdr:rowOff>7575</xdr:rowOff>
    </xdr:to>
    <xdr:sp macro="" textlink="">
      <xdr:nvSpPr>
        <xdr:cNvPr id="265" name="CuadroTexto 264">
          <a:extLst>
            <a:ext uri="{FF2B5EF4-FFF2-40B4-BE49-F238E27FC236}">
              <a16:creationId xmlns:a16="http://schemas.microsoft.com/office/drawing/2014/main" id="{74F60D93-2089-4B38-B280-6B82770AD157}"/>
            </a:ext>
          </a:extLst>
        </xdr:cNvPr>
        <xdr:cNvSpPr txBox="1"/>
      </xdr:nvSpPr>
      <xdr:spPr>
        <a:xfrm>
          <a:off x="10534650" y="8590597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16</xdr:col>
      <xdr:colOff>695325</xdr:colOff>
      <xdr:row>550</xdr:row>
      <xdr:rowOff>47625</xdr:rowOff>
    </xdr:from>
    <xdr:to>
      <xdr:col>17</xdr:col>
      <xdr:colOff>293325</xdr:colOff>
      <xdr:row>552</xdr:row>
      <xdr:rowOff>83775</xdr:rowOff>
    </xdr:to>
    <xdr:sp macro="" textlink="">
      <xdr:nvSpPr>
        <xdr:cNvPr id="266" name="CuadroTexto 265">
          <a:extLst>
            <a:ext uri="{FF2B5EF4-FFF2-40B4-BE49-F238E27FC236}">
              <a16:creationId xmlns:a16="http://schemas.microsoft.com/office/drawing/2014/main" id="{5E901450-49FC-4E07-B66A-33AC9C1F5AF1}"/>
            </a:ext>
          </a:extLst>
        </xdr:cNvPr>
        <xdr:cNvSpPr txBox="1"/>
      </xdr:nvSpPr>
      <xdr:spPr>
        <a:xfrm>
          <a:off x="9172575" y="869537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16</xdr:col>
      <xdr:colOff>361954</xdr:colOff>
      <xdr:row>554</xdr:row>
      <xdr:rowOff>71438</xdr:rowOff>
    </xdr:from>
    <xdr:to>
      <xdr:col>16</xdr:col>
      <xdr:colOff>447676</xdr:colOff>
      <xdr:row>559</xdr:row>
      <xdr:rowOff>152400</xdr:rowOff>
    </xdr:to>
    <xdr:sp macro="" textlink="">
      <xdr:nvSpPr>
        <xdr:cNvPr id="267" name="Diagrama de flujo: operación manual 266">
          <a:extLst>
            <a:ext uri="{FF2B5EF4-FFF2-40B4-BE49-F238E27FC236}">
              <a16:creationId xmlns:a16="http://schemas.microsoft.com/office/drawing/2014/main" id="{70F19757-3D71-4BBA-B8DF-BBA096E22B02}"/>
            </a:ext>
          </a:extLst>
        </xdr:cNvPr>
        <xdr:cNvSpPr/>
      </xdr:nvSpPr>
      <xdr:spPr>
        <a:xfrm rot="16200000">
          <a:off x="8436771" y="88027671"/>
          <a:ext cx="890587" cy="85722"/>
        </a:xfrm>
        <a:prstGeom prst="flowChartManualOperation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457199</xdr:colOff>
      <xdr:row>555</xdr:row>
      <xdr:rowOff>142876</xdr:rowOff>
    </xdr:from>
    <xdr:to>
      <xdr:col>18</xdr:col>
      <xdr:colOff>123824</xdr:colOff>
      <xdr:row>558</xdr:row>
      <xdr:rowOff>76201</xdr:rowOff>
    </xdr:to>
    <xdr:sp macro="" textlink="">
      <xdr:nvSpPr>
        <xdr:cNvPr id="268" name="Rectángulo 267">
          <a:extLst>
            <a:ext uri="{FF2B5EF4-FFF2-40B4-BE49-F238E27FC236}">
              <a16:creationId xmlns:a16="http://schemas.microsoft.com/office/drawing/2014/main" id="{A7C2B417-F337-44B3-95C7-98D637D7C522}"/>
            </a:ext>
          </a:extLst>
        </xdr:cNvPr>
        <xdr:cNvSpPr/>
      </xdr:nvSpPr>
      <xdr:spPr>
        <a:xfrm>
          <a:off x="8934449" y="87858601"/>
          <a:ext cx="1190625" cy="41910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14</xdr:col>
      <xdr:colOff>752475</xdr:colOff>
      <xdr:row>554</xdr:row>
      <xdr:rowOff>66675</xdr:rowOff>
    </xdr:from>
    <xdr:to>
      <xdr:col>16</xdr:col>
      <xdr:colOff>352426</xdr:colOff>
      <xdr:row>554</xdr:row>
      <xdr:rowOff>66675</xdr:rowOff>
    </xdr:to>
    <xdr:cxnSp macro="">
      <xdr:nvCxnSpPr>
        <xdr:cNvPr id="272" name="Conector recto 271">
          <a:extLst>
            <a:ext uri="{FF2B5EF4-FFF2-40B4-BE49-F238E27FC236}">
              <a16:creationId xmlns:a16="http://schemas.microsoft.com/office/drawing/2014/main" id="{238EE0B0-5C7A-4A2C-8057-94FAB3CE1333}"/>
            </a:ext>
          </a:extLst>
        </xdr:cNvPr>
        <xdr:cNvCxnSpPr/>
      </xdr:nvCxnSpPr>
      <xdr:spPr>
        <a:xfrm flipH="1">
          <a:off x="8467725" y="87620475"/>
          <a:ext cx="36195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560</xdr:row>
      <xdr:rowOff>0</xdr:rowOff>
    </xdr:from>
    <xdr:to>
      <xdr:col>16</xdr:col>
      <xdr:colOff>361951</xdr:colOff>
      <xdr:row>560</xdr:row>
      <xdr:rowOff>0</xdr:rowOff>
    </xdr:to>
    <xdr:cxnSp macro="">
      <xdr:nvCxnSpPr>
        <xdr:cNvPr id="345" name="Conector recto 344">
          <a:extLst>
            <a:ext uri="{FF2B5EF4-FFF2-40B4-BE49-F238E27FC236}">
              <a16:creationId xmlns:a16="http://schemas.microsoft.com/office/drawing/2014/main" id="{435857B0-9855-4369-91C6-E0C60C0A77CA}"/>
            </a:ext>
          </a:extLst>
        </xdr:cNvPr>
        <xdr:cNvCxnSpPr/>
      </xdr:nvCxnSpPr>
      <xdr:spPr>
        <a:xfrm flipH="1">
          <a:off x="8477250" y="88525350"/>
          <a:ext cx="36195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366715</xdr:colOff>
      <xdr:row>559</xdr:row>
      <xdr:rowOff>130017</xdr:rowOff>
    </xdr:from>
    <xdr:to>
      <xdr:col>16</xdr:col>
      <xdr:colOff>371475</xdr:colOff>
      <xdr:row>563</xdr:row>
      <xdr:rowOff>133350</xdr:rowOff>
    </xdr:to>
    <xdr:cxnSp macro="">
      <xdr:nvCxnSpPr>
        <xdr:cNvPr id="278" name="Conector recto 277">
          <a:extLst>
            <a:ext uri="{FF2B5EF4-FFF2-40B4-BE49-F238E27FC236}">
              <a16:creationId xmlns:a16="http://schemas.microsoft.com/office/drawing/2014/main" id="{4C5FB277-4AFF-4E1C-B881-73753A84F2F8}"/>
            </a:ext>
          </a:extLst>
        </xdr:cNvPr>
        <xdr:cNvCxnSpPr/>
      </xdr:nvCxnSpPr>
      <xdr:spPr>
        <a:xfrm>
          <a:off x="8843965" y="88493442"/>
          <a:ext cx="4760" cy="6510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119065</xdr:colOff>
      <xdr:row>558</xdr:row>
      <xdr:rowOff>63342</xdr:rowOff>
    </xdr:from>
    <xdr:to>
      <xdr:col>18</xdr:col>
      <xdr:colOff>123825</xdr:colOff>
      <xdr:row>563</xdr:row>
      <xdr:rowOff>142875</xdr:rowOff>
    </xdr:to>
    <xdr:cxnSp macro="">
      <xdr:nvCxnSpPr>
        <xdr:cNvPr id="348" name="Conector recto 347">
          <a:extLst>
            <a:ext uri="{FF2B5EF4-FFF2-40B4-BE49-F238E27FC236}">
              <a16:creationId xmlns:a16="http://schemas.microsoft.com/office/drawing/2014/main" id="{11C465C7-47C7-4162-A7E6-BD0E309D77AA}"/>
            </a:ext>
          </a:extLst>
        </xdr:cNvPr>
        <xdr:cNvCxnSpPr/>
      </xdr:nvCxnSpPr>
      <xdr:spPr>
        <a:xfrm>
          <a:off x="10120315" y="88264842"/>
          <a:ext cx="4760" cy="8891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114300</xdr:colOff>
      <xdr:row>558</xdr:row>
      <xdr:rowOff>66675</xdr:rowOff>
    </xdr:from>
    <xdr:to>
      <xdr:col>18</xdr:col>
      <xdr:colOff>752475</xdr:colOff>
      <xdr:row>558</xdr:row>
      <xdr:rowOff>66675</xdr:rowOff>
    </xdr:to>
    <xdr:cxnSp macro="">
      <xdr:nvCxnSpPr>
        <xdr:cNvPr id="293" name="Conector recto 292">
          <a:extLst>
            <a:ext uri="{FF2B5EF4-FFF2-40B4-BE49-F238E27FC236}">
              <a16:creationId xmlns:a16="http://schemas.microsoft.com/office/drawing/2014/main" id="{7F6A4A84-985B-4E27-B84F-3E3E2837E907}"/>
            </a:ext>
          </a:extLst>
        </xdr:cNvPr>
        <xdr:cNvCxnSpPr/>
      </xdr:nvCxnSpPr>
      <xdr:spPr>
        <a:xfrm>
          <a:off x="10115550" y="88268175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104775</xdr:colOff>
      <xdr:row>555</xdr:row>
      <xdr:rowOff>142875</xdr:rowOff>
    </xdr:from>
    <xdr:to>
      <xdr:col>18</xdr:col>
      <xdr:colOff>742950</xdr:colOff>
      <xdr:row>555</xdr:row>
      <xdr:rowOff>142875</xdr:rowOff>
    </xdr:to>
    <xdr:cxnSp macro="">
      <xdr:nvCxnSpPr>
        <xdr:cNvPr id="358" name="Conector recto 357">
          <a:extLst>
            <a:ext uri="{FF2B5EF4-FFF2-40B4-BE49-F238E27FC236}">
              <a16:creationId xmlns:a16="http://schemas.microsoft.com/office/drawing/2014/main" id="{AF2DEBAF-C60D-4B70-BA4C-B911E1C6B653}"/>
            </a:ext>
          </a:extLst>
        </xdr:cNvPr>
        <xdr:cNvCxnSpPr/>
      </xdr:nvCxnSpPr>
      <xdr:spPr>
        <a:xfrm>
          <a:off x="10106025" y="87858600"/>
          <a:ext cx="638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554</xdr:row>
      <xdr:rowOff>114300</xdr:rowOff>
    </xdr:from>
    <xdr:to>
      <xdr:col>16</xdr:col>
      <xdr:colOff>9525</xdr:colOff>
      <xdr:row>559</xdr:row>
      <xdr:rowOff>161925</xdr:rowOff>
    </xdr:to>
    <xdr:cxnSp macro="">
      <xdr:nvCxnSpPr>
        <xdr:cNvPr id="311" name="Conector recto de flecha 310">
          <a:extLst>
            <a:ext uri="{FF2B5EF4-FFF2-40B4-BE49-F238E27FC236}">
              <a16:creationId xmlns:a16="http://schemas.microsoft.com/office/drawing/2014/main" id="{C883F49B-BCD4-4886-AD1B-AB4158007FE0}"/>
            </a:ext>
          </a:extLst>
        </xdr:cNvPr>
        <xdr:cNvCxnSpPr/>
      </xdr:nvCxnSpPr>
      <xdr:spPr>
        <a:xfrm>
          <a:off x="7715250" y="113318925"/>
          <a:ext cx="9525" cy="10477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723900</xdr:colOff>
      <xdr:row>556</xdr:row>
      <xdr:rowOff>19050</xdr:rowOff>
    </xdr:from>
    <xdr:to>
      <xdr:col>18</xdr:col>
      <xdr:colOff>733425</xdr:colOff>
      <xdr:row>558</xdr:row>
      <xdr:rowOff>38100</xdr:rowOff>
    </xdr:to>
    <xdr:cxnSp macro="">
      <xdr:nvCxnSpPr>
        <xdr:cNvPr id="313" name="Conector recto de flecha 312">
          <a:extLst>
            <a:ext uri="{FF2B5EF4-FFF2-40B4-BE49-F238E27FC236}">
              <a16:creationId xmlns:a16="http://schemas.microsoft.com/office/drawing/2014/main" id="{3C80F43F-D666-47EA-8ECE-82AC7E445E5F}"/>
            </a:ext>
          </a:extLst>
        </xdr:cNvPr>
        <xdr:cNvCxnSpPr/>
      </xdr:nvCxnSpPr>
      <xdr:spPr>
        <a:xfrm>
          <a:off x="10725150" y="87896700"/>
          <a:ext cx="9525" cy="3429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409575</xdr:colOff>
      <xdr:row>563</xdr:row>
      <xdr:rowOff>123825</xdr:rowOff>
    </xdr:from>
    <xdr:to>
      <xdr:col>18</xdr:col>
      <xdr:colOff>95250</xdr:colOff>
      <xdr:row>563</xdr:row>
      <xdr:rowOff>123825</xdr:rowOff>
    </xdr:to>
    <xdr:cxnSp macro="">
      <xdr:nvCxnSpPr>
        <xdr:cNvPr id="318" name="Conector recto de flecha 317">
          <a:extLst>
            <a:ext uri="{FF2B5EF4-FFF2-40B4-BE49-F238E27FC236}">
              <a16:creationId xmlns:a16="http://schemas.microsoft.com/office/drawing/2014/main" id="{9C1F63B0-D03A-46C0-9336-537A0BDEEC8B}"/>
            </a:ext>
          </a:extLst>
        </xdr:cNvPr>
        <xdr:cNvCxnSpPr/>
      </xdr:nvCxnSpPr>
      <xdr:spPr>
        <a:xfrm>
          <a:off x="8886825" y="89134950"/>
          <a:ext cx="12096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295274</xdr:colOff>
      <xdr:row>556</xdr:row>
      <xdr:rowOff>0</xdr:rowOff>
    </xdr:from>
    <xdr:to>
      <xdr:col>14</xdr:col>
      <xdr:colOff>655274</xdr:colOff>
      <xdr:row>558</xdr:row>
      <xdr:rowOff>36150</xdr:rowOff>
    </xdr:to>
    <xdr:sp macro="" textlink="">
      <xdr:nvSpPr>
        <xdr:cNvPr id="321" name="CuadroTexto 320">
          <a:extLst>
            <a:ext uri="{FF2B5EF4-FFF2-40B4-BE49-F238E27FC236}">
              <a16:creationId xmlns:a16="http://schemas.microsoft.com/office/drawing/2014/main" id="{A91495FE-3D8D-4BDE-A9DD-1D6654A42893}"/>
            </a:ext>
          </a:extLst>
        </xdr:cNvPr>
        <xdr:cNvSpPr txBox="1"/>
      </xdr:nvSpPr>
      <xdr:spPr>
        <a:xfrm>
          <a:off x="8010524" y="878776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19</xdr:col>
      <xdr:colOff>76199</xdr:colOff>
      <xdr:row>555</xdr:row>
      <xdr:rowOff>161924</xdr:rowOff>
    </xdr:from>
    <xdr:to>
      <xdr:col>19</xdr:col>
      <xdr:colOff>436199</xdr:colOff>
      <xdr:row>558</xdr:row>
      <xdr:rowOff>36149</xdr:rowOff>
    </xdr:to>
    <xdr:sp macro="" textlink="">
      <xdr:nvSpPr>
        <xdr:cNvPr id="322" name="CuadroTexto 321">
          <a:extLst>
            <a:ext uri="{FF2B5EF4-FFF2-40B4-BE49-F238E27FC236}">
              <a16:creationId xmlns:a16="http://schemas.microsoft.com/office/drawing/2014/main" id="{249A9F41-2298-4409-BA10-B962170B36A7}"/>
            </a:ext>
          </a:extLst>
        </xdr:cNvPr>
        <xdr:cNvSpPr txBox="1"/>
      </xdr:nvSpPr>
      <xdr:spPr>
        <a:xfrm>
          <a:off x="10839449" y="87877649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17</xdr:col>
      <xdr:colOff>85725</xdr:colOff>
      <xdr:row>564</xdr:row>
      <xdr:rowOff>38100</xdr:rowOff>
    </xdr:from>
    <xdr:to>
      <xdr:col>17</xdr:col>
      <xdr:colOff>445725</xdr:colOff>
      <xdr:row>566</xdr:row>
      <xdr:rowOff>74250</xdr:rowOff>
    </xdr:to>
    <xdr:sp macro="" textlink="">
      <xdr:nvSpPr>
        <xdr:cNvPr id="324" name="CuadroTexto 323">
          <a:extLst>
            <a:ext uri="{FF2B5EF4-FFF2-40B4-BE49-F238E27FC236}">
              <a16:creationId xmlns:a16="http://schemas.microsoft.com/office/drawing/2014/main" id="{43F70723-B407-4016-84B6-351123BDFDF0}"/>
            </a:ext>
          </a:extLst>
        </xdr:cNvPr>
        <xdr:cNvSpPr txBox="1"/>
      </xdr:nvSpPr>
      <xdr:spPr>
        <a:xfrm>
          <a:off x="9324975" y="892111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16</xdr:col>
      <xdr:colOff>476250</xdr:colOff>
      <xdr:row>483</xdr:row>
      <xdr:rowOff>123825</xdr:rowOff>
    </xdr:from>
    <xdr:to>
      <xdr:col>16</xdr:col>
      <xdr:colOff>561975</xdr:colOff>
      <xdr:row>490</xdr:row>
      <xdr:rowOff>19050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6D227B04-8A3C-4C7D-B473-EFA5E4371F7B}"/>
            </a:ext>
          </a:extLst>
        </xdr:cNvPr>
        <xdr:cNvSpPr/>
      </xdr:nvSpPr>
      <xdr:spPr>
        <a:xfrm>
          <a:off x="8953500" y="83467575"/>
          <a:ext cx="85725" cy="10287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571499</xdr:colOff>
      <xdr:row>483</xdr:row>
      <xdr:rowOff>133353</xdr:rowOff>
    </xdr:from>
    <xdr:to>
      <xdr:col>16</xdr:col>
      <xdr:colOff>676274</xdr:colOff>
      <xdr:row>490</xdr:row>
      <xdr:rowOff>5</xdr:rowOff>
    </xdr:to>
    <xdr:sp macro="" textlink="">
      <xdr:nvSpPr>
        <xdr:cNvPr id="28" name="Trapecio 27">
          <a:extLst>
            <a:ext uri="{FF2B5EF4-FFF2-40B4-BE49-F238E27FC236}">
              <a16:creationId xmlns:a16="http://schemas.microsoft.com/office/drawing/2014/main" id="{E83033EC-D91D-4259-A35F-08AAE016FCCB}"/>
            </a:ext>
          </a:extLst>
        </xdr:cNvPr>
        <xdr:cNvSpPr/>
      </xdr:nvSpPr>
      <xdr:spPr>
        <a:xfrm rot="5400000">
          <a:off x="8601073" y="83924779"/>
          <a:ext cx="1000127" cy="104775"/>
        </a:xfrm>
        <a:prstGeom prst="trapezoid">
          <a:avLst>
            <a:gd name="adj" fmla="val 165741"/>
          </a:avLst>
        </a:prstGeom>
        <a:solidFill>
          <a:schemeClr val="accent2">
            <a:lumMod val="75000"/>
          </a:schemeClr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685800</xdr:colOff>
      <xdr:row>485</xdr:row>
      <xdr:rowOff>19050</xdr:rowOff>
    </xdr:from>
    <xdr:to>
      <xdr:col>18</xdr:col>
      <xdr:colOff>161925</xdr:colOff>
      <xdr:row>488</xdr:row>
      <xdr:rowOff>142875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DE53A60F-6D80-42F6-9516-02C118246958}"/>
            </a:ext>
          </a:extLst>
        </xdr:cNvPr>
        <xdr:cNvSpPr/>
      </xdr:nvSpPr>
      <xdr:spPr>
        <a:xfrm>
          <a:off x="9163050" y="83686650"/>
          <a:ext cx="1000125" cy="6096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16</xdr:col>
      <xdr:colOff>171450</xdr:colOff>
      <xdr:row>483</xdr:row>
      <xdr:rowOff>123825</xdr:rowOff>
    </xdr:from>
    <xdr:to>
      <xdr:col>16</xdr:col>
      <xdr:colOff>500063</xdr:colOff>
      <xdr:row>483</xdr:row>
      <xdr:rowOff>123825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D208281B-4F1C-4EC5-B7D9-3385707737EF}"/>
            </a:ext>
          </a:extLst>
        </xdr:cNvPr>
        <xdr:cNvCxnSpPr/>
      </xdr:nvCxnSpPr>
      <xdr:spPr>
        <a:xfrm flipH="1">
          <a:off x="8648700" y="83467575"/>
          <a:ext cx="32861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152400</xdr:colOff>
      <xdr:row>490</xdr:row>
      <xdr:rowOff>19050</xdr:rowOff>
    </xdr:from>
    <xdr:to>
      <xdr:col>16</xdr:col>
      <xdr:colOff>471488</xdr:colOff>
      <xdr:row>490</xdr:row>
      <xdr:rowOff>19050</xdr:rowOff>
    </xdr:to>
    <xdr:cxnSp macro="">
      <xdr:nvCxnSpPr>
        <xdr:cNvPr id="308" name="Conector recto 307">
          <a:extLst>
            <a:ext uri="{FF2B5EF4-FFF2-40B4-BE49-F238E27FC236}">
              <a16:creationId xmlns:a16="http://schemas.microsoft.com/office/drawing/2014/main" id="{95A70F9E-B6C9-43E2-BAA6-CF9BEE76A0E4}"/>
            </a:ext>
          </a:extLst>
        </xdr:cNvPr>
        <xdr:cNvCxnSpPr/>
      </xdr:nvCxnSpPr>
      <xdr:spPr>
        <a:xfrm flipH="1">
          <a:off x="8629650" y="84496275"/>
          <a:ext cx="319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695325</xdr:colOff>
      <xdr:row>488</xdr:row>
      <xdr:rowOff>142875</xdr:rowOff>
    </xdr:from>
    <xdr:to>
      <xdr:col>16</xdr:col>
      <xdr:colOff>695325</xdr:colOff>
      <xdr:row>492</xdr:row>
      <xdr:rowOff>9525</xdr:rowOff>
    </xdr:to>
    <xdr:cxnSp macro="">
      <xdr:nvCxnSpPr>
        <xdr:cNvPr id="62" name="Conector recto 61">
          <a:extLst>
            <a:ext uri="{FF2B5EF4-FFF2-40B4-BE49-F238E27FC236}">
              <a16:creationId xmlns:a16="http://schemas.microsoft.com/office/drawing/2014/main" id="{00B5EC8C-2579-42DE-8372-6B89D31E9AD3}"/>
            </a:ext>
          </a:extLst>
        </xdr:cNvPr>
        <xdr:cNvCxnSpPr/>
      </xdr:nvCxnSpPr>
      <xdr:spPr>
        <a:xfrm>
          <a:off x="9172575" y="84296250"/>
          <a:ext cx="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161925</xdr:colOff>
      <xdr:row>488</xdr:row>
      <xdr:rowOff>133350</xdr:rowOff>
    </xdr:from>
    <xdr:to>
      <xdr:col>18</xdr:col>
      <xdr:colOff>161925</xdr:colOff>
      <xdr:row>492</xdr:row>
      <xdr:rowOff>0</xdr:rowOff>
    </xdr:to>
    <xdr:cxnSp macro="">
      <xdr:nvCxnSpPr>
        <xdr:cNvPr id="316" name="Conector recto 315">
          <a:extLst>
            <a:ext uri="{FF2B5EF4-FFF2-40B4-BE49-F238E27FC236}">
              <a16:creationId xmlns:a16="http://schemas.microsoft.com/office/drawing/2014/main" id="{EF14E865-49F1-4AC9-938C-77144704BF1A}"/>
            </a:ext>
          </a:extLst>
        </xdr:cNvPr>
        <xdr:cNvCxnSpPr/>
      </xdr:nvCxnSpPr>
      <xdr:spPr>
        <a:xfrm>
          <a:off x="10163175" y="84286725"/>
          <a:ext cx="0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171450</xdr:colOff>
      <xdr:row>488</xdr:row>
      <xdr:rowOff>142875</xdr:rowOff>
    </xdr:from>
    <xdr:to>
      <xdr:col>19</xdr:col>
      <xdr:colOff>0</xdr:colOff>
      <xdr:row>488</xdr:row>
      <xdr:rowOff>142875</xdr:rowOff>
    </xdr:to>
    <xdr:cxnSp macro="">
      <xdr:nvCxnSpPr>
        <xdr:cNvPr id="78" name="Conector recto 77">
          <a:extLst>
            <a:ext uri="{FF2B5EF4-FFF2-40B4-BE49-F238E27FC236}">
              <a16:creationId xmlns:a16="http://schemas.microsoft.com/office/drawing/2014/main" id="{7D9F64F7-BAFA-431E-9B13-35AF15AE9550}"/>
            </a:ext>
          </a:extLst>
        </xdr:cNvPr>
        <xdr:cNvCxnSpPr/>
      </xdr:nvCxnSpPr>
      <xdr:spPr>
        <a:xfrm>
          <a:off x="10172700" y="84296250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152400</xdr:colOff>
      <xdr:row>485</xdr:row>
      <xdr:rowOff>19050</xdr:rowOff>
    </xdr:from>
    <xdr:to>
      <xdr:col>18</xdr:col>
      <xdr:colOff>742950</xdr:colOff>
      <xdr:row>485</xdr:row>
      <xdr:rowOff>19050</xdr:rowOff>
    </xdr:to>
    <xdr:cxnSp macro="">
      <xdr:nvCxnSpPr>
        <xdr:cNvPr id="325" name="Conector recto 324">
          <a:extLst>
            <a:ext uri="{FF2B5EF4-FFF2-40B4-BE49-F238E27FC236}">
              <a16:creationId xmlns:a16="http://schemas.microsoft.com/office/drawing/2014/main" id="{07AF5F27-AFA7-407C-B4DB-27F57F8E3C41}"/>
            </a:ext>
          </a:extLst>
        </xdr:cNvPr>
        <xdr:cNvCxnSpPr/>
      </xdr:nvCxnSpPr>
      <xdr:spPr>
        <a:xfrm>
          <a:off x="10153650" y="83686650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161925</xdr:colOff>
      <xdr:row>483</xdr:row>
      <xdr:rowOff>152401</xdr:rowOff>
    </xdr:from>
    <xdr:to>
      <xdr:col>16</xdr:col>
      <xdr:colOff>171450</xdr:colOff>
      <xdr:row>489</xdr:row>
      <xdr:rowOff>152400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AE80655D-CA81-411E-A782-E8079F9EB2B6}"/>
            </a:ext>
          </a:extLst>
        </xdr:cNvPr>
        <xdr:cNvCxnSpPr/>
      </xdr:nvCxnSpPr>
      <xdr:spPr>
        <a:xfrm flipV="1">
          <a:off x="8639175" y="83496151"/>
          <a:ext cx="9525" cy="971549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723900</xdr:colOff>
      <xdr:row>492</xdr:row>
      <xdr:rowOff>0</xdr:rowOff>
    </xdr:from>
    <xdr:to>
      <xdr:col>18</xdr:col>
      <xdr:colOff>142875</xdr:colOff>
      <xdr:row>492</xdr:row>
      <xdr:rowOff>2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B1FE598B-5549-474E-AD36-684859FB6C8E}"/>
            </a:ext>
          </a:extLst>
        </xdr:cNvPr>
        <xdr:cNvCxnSpPr/>
      </xdr:nvCxnSpPr>
      <xdr:spPr>
        <a:xfrm flipV="1">
          <a:off x="9201150" y="84801075"/>
          <a:ext cx="942975" cy="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742950</xdr:colOff>
      <xdr:row>485</xdr:row>
      <xdr:rowOff>28575</xdr:rowOff>
    </xdr:from>
    <xdr:to>
      <xdr:col>18</xdr:col>
      <xdr:colOff>752475</xdr:colOff>
      <xdr:row>488</xdr:row>
      <xdr:rowOff>123825</xdr:rowOff>
    </xdr:to>
    <xdr:cxnSp macro="">
      <xdr:nvCxnSpPr>
        <xdr:cNvPr id="123" name="Conector recto de flecha 122">
          <a:extLst>
            <a:ext uri="{FF2B5EF4-FFF2-40B4-BE49-F238E27FC236}">
              <a16:creationId xmlns:a16="http://schemas.microsoft.com/office/drawing/2014/main" id="{BBEA086E-1C00-4438-8BF3-D985775398EB}"/>
            </a:ext>
          </a:extLst>
        </xdr:cNvPr>
        <xdr:cNvCxnSpPr/>
      </xdr:nvCxnSpPr>
      <xdr:spPr>
        <a:xfrm>
          <a:off x="10744200" y="83696175"/>
          <a:ext cx="9525" cy="5810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466725</xdr:colOff>
      <xdr:row>485</xdr:row>
      <xdr:rowOff>133350</xdr:rowOff>
    </xdr:from>
    <xdr:to>
      <xdr:col>16</xdr:col>
      <xdr:colOff>64725</xdr:colOff>
      <xdr:row>488</xdr:row>
      <xdr:rowOff>7575</xdr:rowOff>
    </xdr:to>
    <xdr:sp macro="" textlink="">
      <xdr:nvSpPr>
        <xdr:cNvPr id="132" name="CuadroTexto 131">
          <a:extLst>
            <a:ext uri="{FF2B5EF4-FFF2-40B4-BE49-F238E27FC236}">
              <a16:creationId xmlns:a16="http://schemas.microsoft.com/office/drawing/2014/main" id="{7BA982B2-2C14-49D3-B357-26A12BAD63E5}"/>
            </a:ext>
          </a:extLst>
        </xdr:cNvPr>
        <xdr:cNvSpPr txBox="1"/>
      </xdr:nvSpPr>
      <xdr:spPr>
        <a:xfrm>
          <a:off x="8181975" y="83800950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A</a:t>
          </a:r>
        </a:p>
      </xdr:txBody>
    </xdr:sp>
    <xdr:clientData/>
  </xdr:twoCellAnchor>
  <xdr:twoCellAnchor>
    <xdr:from>
      <xdr:col>19</xdr:col>
      <xdr:colOff>66675</xdr:colOff>
      <xdr:row>485</xdr:row>
      <xdr:rowOff>123825</xdr:rowOff>
    </xdr:from>
    <xdr:to>
      <xdr:col>19</xdr:col>
      <xdr:colOff>426675</xdr:colOff>
      <xdr:row>487</xdr:row>
      <xdr:rowOff>159975</xdr:rowOff>
    </xdr:to>
    <xdr:sp macro="" textlink="">
      <xdr:nvSpPr>
        <xdr:cNvPr id="140" name="CuadroTexto 139">
          <a:extLst>
            <a:ext uri="{FF2B5EF4-FFF2-40B4-BE49-F238E27FC236}">
              <a16:creationId xmlns:a16="http://schemas.microsoft.com/office/drawing/2014/main" id="{4A709809-5225-497D-98D0-253AEBB919CE}"/>
            </a:ext>
          </a:extLst>
        </xdr:cNvPr>
        <xdr:cNvSpPr txBox="1"/>
      </xdr:nvSpPr>
      <xdr:spPr>
        <a:xfrm>
          <a:off x="10829925" y="837914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</a:p>
      </xdr:txBody>
    </xdr:sp>
    <xdr:clientData/>
  </xdr:twoCellAnchor>
  <xdr:twoCellAnchor>
    <xdr:from>
      <xdr:col>17</xdr:col>
      <xdr:colOff>257175</xdr:colOff>
      <xdr:row>492</xdr:row>
      <xdr:rowOff>95250</xdr:rowOff>
    </xdr:from>
    <xdr:to>
      <xdr:col>17</xdr:col>
      <xdr:colOff>617175</xdr:colOff>
      <xdr:row>494</xdr:row>
      <xdr:rowOff>131400</xdr:rowOff>
    </xdr:to>
    <xdr:sp macro="" textlink="">
      <xdr:nvSpPr>
        <xdr:cNvPr id="148" name="CuadroTexto 147">
          <a:extLst>
            <a:ext uri="{FF2B5EF4-FFF2-40B4-BE49-F238E27FC236}">
              <a16:creationId xmlns:a16="http://schemas.microsoft.com/office/drawing/2014/main" id="{E38DFEEE-A4A7-4769-87CA-8FA130D45838}"/>
            </a:ext>
          </a:extLst>
        </xdr:cNvPr>
        <xdr:cNvSpPr txBox="1"/>
      </xdr:nvSpPr>
      <xdr:spPr>
        <a:xfrm>
          <a:off x="9496425" y="848963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C</a:t>
          </a:r>
        </a:p>
      </xdr:txBody>
    </xdr:sp>
    <xdr:clientData/>
  </xdr:twoCellAnchor>
  <xdr:twoCellAnchor>
    <xdr:from>
      <xdr:col>19</xdr:col>
      <xdr:colOff>47625</xdr:colOff>
      <xdr:row>356</xdr:row>
      <xdr:rowOff>85725</xdr:rowOff>
    </xdr:from>
    <xdr:to>
      <xdr:col>20</xdr:col>
      <xdr:colOff>752475</xdr:colOff>
      <xdr:row>356</xdr:row>
      <xdr:rowOff>85725</xdr:rowOff>
    </xdr:to>
    <xdr:cxnSp macro="">
      <xdr:nvCxnSpPr>
        <xdr:cNvPr id="173" name="Conector recto 172">
          <a:extLst>
            <a:ext uri="{FF2B5EF4-FFF2-40B4-BE49-F238E27FC236}">
              <a16:creationId xmlns:a16="http://schemas.microsoft.com/office/drawing/2014/main" id="{0DE66B0B-F3E1-4DA1-A3CC-917E06164B00}"/>
            </a:ext>
          </a:extLst>
        </xdr:cNvPr>
        <xdr:cNvCxnSpPr/>
      </xdr:nvCxnSpPr>
      <xdr:spPr>
        <a:xfrm>
          <a:off x="10048875" y="7331392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358</xdr:row>
      <xdr:rowOff>66675</xdr:rowOff>
    </xdr:from>
    <xdr:to>
      <xdr:col>21</xdr:col>
      <xdr:colOff>0</xdr:colOff>
      <xdr:row>358</xdr:row>
      <xdr:rowOff>66675</xdr:rowOff>
    </xdr:to>
    <xdr:cxnSp macro="">
      <xdr:nvCxnSpPr>
        <xdr:cNvPr id="335" name="Conector recto 334">
          <a:extLst>
            <a:ext uri="{FF2B5EF4-FFF2-40B4-BE49-F238E27FC236}">
              <a16:creationId xmlns:a16="http://schemas.microsoft.com/office/drawing/2014/main" id="{FE869228-9E4B-4641-81AA-8CF71F66E6D1}"/>
            </a:ext>
          </a:extLst>
        </xdr:cNvPr>
        <xdr:cNvCxnSpPr/>
      </xdr:nvCxnSpPr>
      <xdr:spPr>
        <a:xfrm>
          <a:off x="10058400" y="73694925"/>
          <a:ext cx="1466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742951</xdr:colOff>
      <xdr:row>356</xdr:row>
      <xdr:rowOff>104775</xdr:rowOff>
    </xdr:from>
    <xdr:to>
      <xdr:col>20</xdr:col>
      <xdr:colOff>752475</xdr:colOff>
      <xdr:row>358</xdr:row>
      <xdr:rowOff>38100</xdr:rowOff>
    </xdr:to>
    <xdr:cxnSp macro="">
      <xdr:nvCxnSpPr>
        <xdr:cNvPr id="196" name="Conector recto de flecha 195">
          <a:extLst>
            <a:ext uri="{FF2B5EF4-FFF2-40B4-BE49-F238E27FC236}">
              <a16:creationId xmlns:a16="http://schemas.microsoft.com/office/drawing/2014/main" id="{3F0AFEE5-7A49-4864-BEF2-00B6D9100EE2}"/>
            </a:ext>
          </a:extLst>
        </xdr:cNvPr>
        <xdr:cNvCxnSpPr/>
      </xdr:nvCxnSpPr>
      <xdr:spPr>
        <a:xfrm>
          <a:off x="11506201" y="73332975"/>
          <a:ext cx="9524" cy="3333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104774</xdr:colOff>
      <xdr:row>356</xdr:row>
      <xdr:rowOff>85725</xdr:rowOff>
    </xdr:from>
    <xdr:to>
      <xdr:col>21</xdr:col>
      <xdr:colOff>464774</xdr:colOff>
      <xdr:row>358</xdr:row>
      <xdr:rowOff>45675</xdr:rowOff>
    </xdr:to>
    <xdr:sp macro="" textlink="">
      <xdr:nvSpPr>
        <xdr:cNvPr id="206" name="CuadroTexto 205">
          <a:extLst>
            <a:ext uri="{FF2B5EF4-FFF2-40B4-BE49-F238E27FC236}">
              <a16:creationId xmlns:a16="http://schemas.microsoft.com/office/drawing/2014/main" id="{0369570C-80B3-4D46-B923-4F3EC6989C53}"/>
            </a:ext>
          </a:extLst>
        </xdr:cNvPr>
        <xdr:cNvSpPr txBox="1"/>
      </xdr:nvSpPr>
      <xdr:spPr>
        <a:xfrm>
          <a:off x="11630024" y="73313925"/>
          <a:ext cx="360000" cy="36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es-AR" sz="2400"/>
            <a:t>B</a:t>
          </a:r>
          <a:r>
            <a:rPr lang="es-AR" sz="1100"/>
            <a:t>		</a:t>
          </a:r>
        </a:p>
      </xdr:txBody>
    </xdr:sp>
    <xdr:clientData/>
  </xdr:twoCellAnchor>
  <xdr:oneCellAnchor>
    <xdr:from>
      <xdr:col>12</xdr:col>
      <xdr:colOff>742950</xdr:colOff>
      <xdr:row>11</xdr:row>
      <xdr:rowOff>114300</xdr:rowOff>
    </xdr:from>
    <xdr:ext cx="65" cy="172227"/>
    <xdr:sp macro="" textlink="">
      <xdr:nvSpPr>
        <xdr:cNvPr id="210" name="CuadroTexto 209">
          <a:extLst>
            <a:ext uri="{FF2B5EF4-FFF2-40B4-BE49-F238E27FC236}">
              <a16:creationId xmlns:a16="http://schemas.microsoft.com/office/drawing/2014/main" id="{16342491-9875-4F86-9DBB-8B7DEA47D960}"/>
            </a:ext>
          </a:extLst>
        </xdr:cNvPr>
        <xdr:cNvSpPr txBox="1"/>
      </xdr:nvSpPr>
      <xdr:spPr>
        <a:xfrm>
          <a:off x="6934200" y="2352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AR" sz="1100"/>
        </a:p>
      </xdr:txBody>
    </xdr:sp>
    <xdr:clientData/>
  </xdr:oneCellAnchor>
  <xdr:twoCellAnchor>
    <xdr:from>
      <xdr:col>19</xdr:col>
      <xdr:colOff>9525</xdr:colOff>
      <xdr:row>115</xdr:row>
      <xdr:rowOff>180975</xdr:rowOff>
    </xdr:from>
    <xdr:to>
      <xdr:col>19</xdr:col>
      <xdr:colOff>447674</xdr:colOff>
      <xdr:row>116</xdr:row>
      <xdr:rowOff>133350</xdr:rowOff>
    </xdr:to>
    <xdr:sp macro="" textlink="">
      <xdr:nvSpPr>
        <xdr:cNvPr id="327" name="Cuerda 326">
          <a:extLst>
            <a:ext uri="{FF2B5EF4-FFF2-40B4-BE49-F238E27FC236}">
              <a16:creationId xmlns:a16="http://schemas.microsoft.com/office/drawing/2014/main" id="{18FF2FA3-05B9-4547-BCA8-16EC207124DE}"/>
            </a:ext>
          </a:extLst>
        </xdr:cNvPr>
        <xdr:cNvSpPr/>
      </xdr:nvSpPr>
      <xdr:spPr>
        <a:xfrm rot="10800000">
          <a:off x="10010775" y="23764875"/>
          <a:ext cx="438149" cy="152400"/>
        </a:xfrm>
        <a:prstGeom prst="chord">
          <a:avLst>
            <a:gd name="adj1" fmla="val 10156632"/>
            <a:gd name="adj2" fmla="val 524770"/>
          </a:avLst>
        </a:prstGeom>
        <a:solidFill>
          <a:schemeClr val="bg2">
            <a:lumMod val="9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37"/>
  <sheetViews>
    <sheetView tabSelected="1" topLeftCell="B853" workbookViewId="0">
      <selection activeCell="B861" sqref="B861:M868"/>
    </sheetView>
  </sheetViews>
  <sheetFormatPr defaultColWidth="9.140625" defaultRowHeight="12.75"/>
  <cols>
    <col min="1" max="1" width="11.42578125" hidden="1" customWidth="1"/>
    <col min="2" max="2" width="11.42578125" customWidth="1"/>
    <col min="3" max="3" width="47.140625" customWidth="1"/>
    <col min="4" max="6" width="11.42578125" hidden="1" customWidth="1"/>
    <col min="7" max="7" width="11.42578125" style="2" hidden="1" customWidth="1"/>
    <col min="8" max="9" width="11.42578125" hidden="1" customWidth="1"/>
    <col min="10" max="13" width="11.42578125" customWidth="1"/>
    <col min="14" max="14" width="11.42578125" hidden="1" customWidth="1"/>
    <col min="15" max="15" width="11.42578125" customWidth="1"/>
    <col min="16" max="16" width="7" style="6" hidden="1" customWidth="1"/>
    <col min="17" max="17" width="11.42578125" style="9" customWidth="1"/>
    <col min="18" max="18" width="11.42578125" customWidth="1"/>
    <col min="19" max="19" width="15.5703125" customWidth="1"/>
    <col min="20" max="259" width="11.42578125" customWidth="1"/>
  </cols>
  <sheetData>
    <row r="1" spans="2:18" ht="25.5">
      <c r="B1" s="13"/>
      <c r="C1" s="13"/>
      <c r="D1" s="13" t="s">
        <v>0</v>
      </c>
      <c r="E1" s="13" t="s">
        <v>1</v>
      </c>
      <c r="F1" s="13" t="s">
        <v>2</v>
      </c>
      <c r="G1" s="13" t="s">
        <v>3</v>
      </c>
      <c r="J1" s="13"/>
      <c r="K1" s="13"/>
      <c r="L1" s="13"/>
      <c r="M1" s="13"/>
      <c r="O1" s="13"/>
      <c r="P1" s="5" t="s">
        <v>4</v>
      </c>
      <c r="Q1" s="8"/>
      <c r="R1" s="4"/>
    </row>
    <row r="2" spans="2:18" ht="13.5" thickBot="1">
      <c r="B2" s="13"/>
      <c r="C2" s="13"/>
      <c r="D2" s="13"/>
      <c r="E2" s="13"/>
      <c r="F2" s="13"/>
      <c r="G2" s="13"/>
      <c r="J2" s="13"/>
      <c r="K2" s="13"/>
      <c r="L2" s="13"/>
      <c r="M2" s="13"/>
      <c r="O2" s="13"/>
      <c r="P2" s="5"/>
      <c r="Q2" s="8"/>
      <c r="R2" s="4"/>
    </row>
    <row r="3" spans="2:18">
      <c r="B3" s="352" t="s">
        <v>5</v>
      </c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4"/>
      <c r="R3" s="4"/>
    </row>
    <row r="4" spans="2:18">
      <c r="B4" s="355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7"/>
      <c r="R4" s="4"/>
    </row>
    <row r="5" spans="2:18" ht="30">
      <c r="B5" s="39" t="s">
        <v>6</v>
      </c>
      <c r="C5" s="40" t="s">
        <v>7</v>
      </c>
      <c r="D5" s="40"/>
      <c r="E5" s="40"/>
      <c r="F5" s="40"/>
      <c r="G5" s="40"/>
      <c r="H5" s="40"/>
      <c r="I5" s="40"/>
      <c r="J5" s="42" t="s">
        <v>8</v>
      </c>
      <c r="K5" s="42" t="s">
        <v>9</v>
      </c>
      <c r="L5" s="42" t="s">
        <v>10</v>
      </c>
      <c r="M5" s="42" t="s">
        <v>11</v>
      </c>
      <c r="N5" s="40"/>
      <c r="O5" s="42" t="s">
        <v>12</v>
      </c>
      <c r="P5" s="40"/>
      <c r="Q5" s="43" t="s">
        <v>13</v>
      </c>
      <c r="R5" s="4"/>
    </row>
    <row r="6" spans="2:18" ht="15.75">
      <c r="B6" s="39" t="s">
        <v>14</v>
      </c>
      <c r="C6" s="163" t="s">
        <v>15</v>
      </c>
      <c r="D6" s="163" t="s">
        <v>16</v>
      </c>
      <c r="E6" s="164"/>
      <c r="F6" s="164"/>
      <c r="G6" s="163"/>
      <c r="H6" s="164"/>
      <c r="I6" s="164"/>
      <c r="J6" s="165">
        <v>18</v>
      </c>
      <c r="K6" s="166">
        <v>5.9</v>
      </c>
      <c r="L6" s="167">
        <v>8.5</v>
      </c>
      <c r="M6" s="168">
        <v>6</v>
      </c>
      <c r="N6" s="164"/>
      <c r="O6" s="169">
        <v>10</v>
      </c>
      <c r="P6" s="170">
        <f>13.44*2</f>
        <v>26.88</v>
      </c>
      <c r="Q6" s="171">
        <v>215.04</v>
      </c>
    </row>
    <row r="7" spans="2:18" ht="15.75">
      <c r="B7" s="39" t="s">
        <v>17</v>
      </c>
      <c r="C7" s="163" t="s">
        <v>18</v>
      </c>
      <c r="D7" s="163" t="s">
        <v>16</v>
      </c>
      <c r="E7" s="164"/>
      <c r="F7" s="164"/>
      <c r="G7" s="163"/>
      <c r="H7" s="164"/>
      <c r="I7" s="164"/>
      <c r="J7" s="165">
        <v>18</v>
      </c>
      <c r="K7" s="166">
        <v>5.9</v>
      </c>
      <c r="L7" s="167">
        <v>8.5</v>
      </c>
      <c r="M7" s="168">
        <v>6.2</v>
      </c>
      <c r="N7" s="164"/>
      <c r="O7" s="169">
        <v>10</v>
      </c>
      <c r="P7" s="172">
        <f>13.44*2</f>
        <v>26.88</v>
      </c>
      <c r="Q7" s="171">
        <v>215.04</v>
      </c>
    </row>
    <row r="8" spans="2:18" ht="15.75">
      <c r="B8" s="39" t="s">
        <v>19</v>
      </c>
      <c r="C8" s="163" t="s">
        <v>20</v>
      </c>
      <c r="D8" s="163" t="s">
        <v>16</v>
      </c>
      <c r="E8" s="173">
        <v>0</v>
      </c>
      <c r="F8" s="174">
        <v>8.1310000000000002</v>
      </c>
      <c r="G8" s="174">
        <v>0</v>
      </c>
      <c r="H8" s="173"/>
      <c r="I8" s="173"/>
      <c r="J8" s="165">
        <v>18</v>
      </c>
      <c r="K8" s="166">
        <v>5.9</v>
      </c>
      <c r="L8" s="167">
        <v>8.5</v>
      </c>
      <c r="M8" s="168">
        <v>6.5</v>
      </c>
      <c r="N8" s="164"/>
      <c r="O8" s="169">
        <v>10</v>
      </c>
      <c r="P8" s="175">
        <f>13.44*2</f>
        <v>26.88</v>
      </c>
      <c r="Q8" s="171">
        <v>215.04</v>
      </c>
    </row>
    <row r="9" spans="2:18" ht="15.75">
      <c r="B9" s="39" t="s">
        <v>21</v>
      </c>
      <c r="C9" s="163" t="s">
        <v>22</v>
      </c>
      <c r="D9" s="163" t="s">
        <v>16</v>
      </c>
      <c r="E9" s="173">
        <v>0</v>
      </c>
      <c r="F9" s="174">
        <v>8.1310000000000002</v>
      </c>
      <c r="G9" s="174">
        <v>0</v>
      </c>
      <c r="H9" s="173"/>
      <c r="I9" s="173"/>
      <c r="J9" s="165">
        <v>18</v>
      </c>
      <c r="K9" s="166">
        <v>5.9</v>
      </c>
      <c r="L9" s="167">
        <v>8.5</v>
      </c>
      <c r="M9" s="168">
        <v>6.9</v>
      </c>
      <c r="N9" s="164"/>
      <c r="O9" s="169">
        <v>10</v>
      </c>
      <c r="P9" s="175">
        <f t="shared" ref="P9:P64" si="0">+(F9/1.21)*2</f>
        <v>13.439669421487604</v>
      </c>
      <c r="Q9" s="171">
        <v>215.04</v>
      </c>
    </row>
    <row r="10" spans="2:18" ht="15.75">
      <c r="B10" s="39" t="s">
        <v>23</v>
      </c>
      <c r="C10" s="163" t="s">
        <v>24</v>
      </c>
      <c r="D10" s="163" t="s">
        <v>16</v>
      </c>
      <c r="E10" s="173">
        <v>0</v>
      </c>
      <c r="F10" s="174">
        <v>8.1310000000000002</v>
      </c>
      <c r="G10" s="174">
        <v>0</v>
      </c>
      <c r="H10" s="173"/>
      <c r="I10" s="173"/>
      <c r="J10" s="165">
        <v>18</v>
      </c>
      <c r="K10" s="165">
        <v>5.9</v>
      </c>
      <c r="L10" s="167">
        <v>8.5</v>
      </c>
      <c r="M10" s="168">
        <v>7.3</v>
      </c>
      <c r="N10" s="164"/>
      <c r="O10" s="169">
        <v>10</v>
      </c>
      <c r="P10" s="175">
        <f t="shared" si="0"/>
        <v>13.439669421487604</v>
      </c>
      <c r="Q10" s="171">
        <v>215.04</v>
      </c>
    </row>
    <row r="11" spans="2:18" ht="15.75">
      <c r="B11" s="39" t="s">
        <v>25</v>
      </c>
      <c r="C11" s="163" t="s">
        <v>26</v>
      </c>
      <c r="D11" s="163" t="s">
        <v>16</v>
      </c>
      <c r="E11" s="173">
        <v>0</v>
      </c>
      <c r="F11" s="174">
        <v>8.1310000000000002</v>
      </c>
      <c r="G11" s="174">
        <v>0</v>
      </c>
      <c r="H11" s="173"/>
      <c r="I11" s="173"/>
      <c r="J11" s="165">
        <v>18</v>
      </c>
      <c r="K11" s="166">
        <v>5.9</v>
      </c>
      <c r="L11" s="167">
        <v>8.5</v>
      </c>
      <c r="M11" s="168">
        <v>7.5</v>
      </c>
      <c r="N11" s="164"/>
      <c r="O11" s="169">
        <v>10</v>
      </c>
      <c r="P11" s="175">
        <f t="shared" si="0"/>
        <v>13.439669421487604</v>
      </c>
      <c r="Q11" s="171">
        <v>215.04</v>
      </c>
    </row>
    <row r="12" spans="2:18" ht="15.75">
      <c r="B12" s="39" t="s">
        <v>27</v>
      </c>
      <c r="C12" s="163" t="s">
        <v>28</v>
      </c>
      <c r="D12" s="163" t="s">
        <v>16</v>
      </c>
      <c r="E12" s="173">
        <v>0</v>
      </c>
      <c r="F12" s="174">
        <v>8.1310000000000002</v>
      </c>
      <c r="G12" s="174">
        <v>0</v>
      </c>
      <c r="H12" s="173"/>
      <c r="I12" s="173"/>
      <c r="J12" s="165">
        <v>18</v>
      </c>
      <c r="K12" s="166">
        <v>5.9</v>
      </c>
      <c r="L12" s="167">
        <v>8.5</v>
      </c>
      <c r="M12" s="168">
        <v>7.8</v>
      </c>
      <c r="N12" s="164"/>
      <c r="O12" s="169">
        <v>10</v>
      </c>
      <c r="P12" s="175">
        <f t="shared" si="0"/>
        <v>13.439669421487604</v>
      </c>
      <c r="Q12" s="171">
        <v>215.04</v>
      </c>
    </row>
    <row r="13" spans="2:18" ht="15.75">
      <c r="B13" s="39" t="s">
        <v>29</v>
      </c>
      <c r="C13" s="163" t="s">
        <v>30</v>
      </c>
      <c r="D13" s="163" t="s">
        <v>16</v>
      </c>
      <c r="E13" s="173">
        <v>0</v>
      </c>
      <c r="F13" s="174">
        <v>8.1310000000000002</v>
      </c>
      <c r="G13" s="174">
        <v>0</v>
      </c>
      <c r="H13" s="173"/>
      <c r="I13" s="173"/>
      <c r="J13" s="165">
        <v>18</v>
      </c>
      <c r="K13" s="165">
        <v>5.9</v>
      </c>
      <c r="L13" s="167">
        <v>8.5</v>
      </c>
      <c r="M13" s="168">
        <v>8.1</v>
      </c>
      <c r="N13" s="164"/>
      <c r="O13" s="169">
        <v>10</v>
      </c>
      <c r="P13" s="175">
        <f t="shared" si="0"/>
        <v>13.439669421487604</v>
      </c>
      <c r="Q13" s="171">
        <v>215.04</v>
      </c>
    </row>
    <row r="14" spans="2:18" ht="15.75">
      <c r="B14" s="39" t="s">
        <v>31</v>
      </c>
      <c r="C14" s="163" t="s">
        <v>32</v>
      </c>
      <c r="D14" s="163" t="s">
        <v>16</v>
      </c>
      <c r="E14" s="173">
        <v>0</v>
      </c>
      <c r="F14" s="174">
        <v>8.1310000000000002</v>
      </c>
      <c r="G14" s="174">
        <v>0</v>
      </c>
      <c r="H14" s="173"/>
      <c r="I14" s="173"/>
      <c r="J14" s="165">
        <v>18</v>
      </c>
      <c r="K14" s="166">
        <v>5.9</v>
      </c>
      <c r="L14" s="167">
        <v>8.5</v>
      </c>
      <c r="M14" s="168">
        <v>8.3000000000000007</v>
      </c>
      <c r="N14" s="164"/>
      <c r="O14" s="169">
        <v>10</v>
      </c>
      <c r="P14" s="175">
        <f t="shared" si="0"/>
        <v>13.439669421487604</v>
      </c>
      <c r="Q14" s="171">
        <v>215.04</v>
      </c>
    </row>
    <row r="15" spans="2:18" ht="15.75">
      <c r="B15" s="39" t="s">
        <v>33</v>
      </c>
      <c r="C15" s="163" t="s">
        <v>34</v>
      </c>
      <c r="D15" s="163" t="s">
        <v>16</v>
      </c>
      <c r="E15" s="173">
        <v>0</v>
      </c>
      <c r="F15" s="174">
        <v>9.2929999999999993</v>
      </c>
      <c r="G15" s="174">
        <v>0</v>
      </c>
      <c r="H15" s="173"/>
      <c r="I15" s="173"/>
      <c r="J15" s="165">
        <v>17</v>
      </c>
      <c r="K15" s="166">
        <v>5.9</v>
      </c>
      <c r="L15" s="167">
        <v>8.5</v>
      </c>
      <c r="M15" s="168">
        <v>8.5</v>
      </c>
      <c r="N15" s="164"/>
      <c r="O15" s="169">
        <v>10</v>
      </c>
      <c r="P15" s="175">
        <f t="shared" si="0"/>
        <v>15.360330578512396</v>
      </c>
      <c r="Q15" s="171">
        <v>245.76</v>
      </c>
    </row>
    <row r="16" spans="2:18" ht="15.75">
      <c r="B16" s="39" t="s">
        <v>35</v>
      </c>
      <c r="C16" s="163" t="s">
        <v>36</v>
      </c>
      <c r="D16" s="163" t="s">
        <v>16</v>
      </c>
      <c r="E16" s="173">
        <v>0</v>
      </c>
      <c r="F16" s="174">
        <v>9.2929999999999993</v>
      </c>
      <c r="G16" s="174">
        <v>0</v>
      </c>
      <c r="H16" s="173"/>
      <c r="I16" s="173"/>
      <c r="J16" s="165">
        <v>17</v>
      </c>
      <c r="K16" s="166">
        <v>5.9</v>
      </c>
      <c r="L16" s="167">
        <v>8.5</v>
      </c>
      <c r="M16" s="168">
        <v>9</v>
      </c>
      <c r="N16" s="164"/>
      <c r="O16" s="169">
        <v>10</v>
      </c>
      <c r="P16" s="175">
        <f t="shared" si="0"/>
        <v>15.360330578512396</v>
      </c>
      <c r="Q16" s="171">
        <v>245.76</v>
      </c>
    </row>
    <row r="17" spans="2:18" ht="15.75">
      <c r="B17" s="39" t="s">
        <v>37</v>
      </c>
      <c r="C17" s="163" t="s">
        <v>38</v>
      </c>
      <c r="D17" s="163" t="s">
        <v>16</v>
      </c>
      <c r="E17" s="173">
        <v>0</v>
      </c>
      <c r="F17" s="174">
        <v>9.68</v>
      </c>
      <c r="G17" s="174">
        <v>0</v>
      </c>
      <c r="H17" s="173"/>
      <c r="I17" s="173"/>
      <c r="J17" s="165">
        <v>19</v>
      </c>
      <c r="K17" s="166">
        <v>6.9</v>
      </c>
      <c r="L17" s="167">
        <v>10.5</v>
      </c>
      <c r="M17" s="168">
        <v>6.7</v>
      </c>
      <c r="N17" s="164"/>
      <c r="O17" s="169">
        <v>11</v>
      </c>
      <c r="P17" s="175">
        <f t="shared" si="0"/>
        <v>16</v>
      </c>
      <c r="Q17" s="171">
        <v>256</v>
      </c>
      <c r="R17" s="4" t="s">
        <v>39</v>
      </c>
    </row>
    <row r="18" spans="2:18" ht="15.75">
      <c r="B18" s="39" t="s">
        <v>40</v>
      </c>
      <c r="C18" s="163" t="s">
        <v>41</v>
      </c>
      <c r="D18" s="163" t="s">
        <v>16</v>
      </c>
      <c r="E18" s="173">
        <v>0</v>
      </c>
      <c r="F18" s="174">
        <v>9.68</v>
      </c>
      <c r="G18" s="174">
        <v>0</v>
      </c>
      <c r="H18" s="173"/>
      <c r="I18" s="173"/>
      <c r="J18" s="165">
        <v>19</v>
      </c>
      <c r="K18" s="166">
        <v>6.9</v>
      </c>
      <c r="L18" s="167">
        <v>10.5</v>
      </c>
      <c r="M18" s="168">
        <v>7</v>
      </c>
      <c r="N18" s="164"/>
      <c r="O18" s="169">
        <v>11</v>
      </c>
      <c r="P18" s="175">
        <f t="shared" si="0"/>
        <v>16</v>
      </c>
      <c r="Q18" s="171">
        <v>256</v>
      </c>
    </row>
    <row r="19" spans="2:18" ht="15.75">
      <c r="B19" s="39" t="s">
        <v>42</v>
      </c>
      <c r="C19" s="163" t="s">
        <v>43</v>
      </c>
      <c r="D19" s="163" t="s">
        <v>16</v>
      </c>
      <c r="E19" s="173">
        <v>0</v>
      </c>
      <c r="F19" s="174">
        <v>9.68</v>
      </c>
      <c r="G19" s="174">
        <v>0</v>
      </c>
      <c r="H19" s="173"/>
      <c r="I19" s="173"/>
      <c r="J19" s="165">
        <v>19</v>
      </c>
      <c r="K19" s="166">
        <v>6.9</v>
      </c>
      <c r="L19" s="167">
        <v>10.5</v>
      </c>
      <c r="M19" s="168">
        <v>7.3</v>
      </c>
      <c r="N19" s="164"/>
      <c r="O19" s="169">
        <v>11</v>
      </c>
      <c r="P19" s="175">
        <f t="shared" si="0"/>
        <v>16</v>
      </c>
      <c r="Q19" s="171">
        <v>256</v>
      </c>
    </row>
    <row r="20" spans="2:18" ht="15.75">
      <c r="B20" s="39" t="s">
        <v>44</v>
      </c>
      <c r="C20" s="163" t="s">
        <v>45</v>
      </c>
      <c r="D20" s="163" t="s">
        <v>16</v>
      </c>
      <c r="E20" s="173">
        <v>0</v>
      </c>
      <c r="F20" s="174">
        <v>9.68</v>
      </c>
      <c r="G20" s="174">
        <v>0</v>
      </c>
      <c r="H20" s="173"/>
      <c r="I20" s="173"/>
      <c r="J20" s="165">
        <v>19</v>
      </c>
      <c r="K20" s="166">
        <v>6.9</v>
      </c>
      <c r="L20" s="167">
        <v>10.5</v>
      </c>
      <c r="M20" s="168">
        <v>7.5</v>
      </c>
      <c r="N20" s="164"/>
      <c r="O20" s="169">
        <v>11</v>
      </c>
      <c r="P20" s="175">
        <f t="shared" si="0"/>
        <v>16</v>
      </c>
      <c r="Q20" s="171">
        <v>256</v>
      </c>
    </row>
    <row r="21" spans="2:18" ht="15.75">
      <c r="B21" s="39" t="s">
        <v>46</v>
      </c>
      <c r="C21" s="163" t="s">
        <v>47</v>
      </c>
      <c r="D21" s="163" t="s">
        <v>16</v>
      </c>
      <c r="E21" s="173">
        <v>0</v>
      </c>
      <c r="F21" s="174">
        <v>9.68</v>
      </c>
      <c r="G21" s="174">
        <v>0</v>
      </c>
      <c r="H21" s="173"/>
      <c r="I21" s="173"/>
      <c r="J21" s="165">
        <v>19</v>
      </c>
      <c r="K21" s="166">
        <v>6.9</v>
      </c>
      <c r="L21" s="167">
        <v>10.5</v>
      </c>
      <c r="M21" s="168">
        <v>7.8</v>
      </c>
      <c r="N21" s="164"/>
      <c r="O21" s="169">
        <v>11</v>
      </c>
      <c r="P21" s="175">
        <f t="shared" si="0"/>
        <v>16</v>
      </c>
      <c r="Q21" s="171">
        <v>256</v>
      </c>
    </row>
    <row r="22" spans="2:18" ht="15.75">
      <c r="B22" s="39" t="s">
        <v>48</v>
      </c>
      <c r="C22" s="163" t="s">
        <v>49</v>
      </c>
      <c r="D22" s="163" t="s">
        <v>16</v>
      </c>
      <c r="E22" s="173">
        <v>0</v>
      </c>
      <c r="F22" s="174">
        <v>9.68</v>
      </c>
      <c r="G22" s="174">
        <v>0</v>
      </c>
      <c r="H22" s="173"/>
      <c r="I22" s="173"/>
      <c r="J22" s="165">
        <v>19</v>
      </c>
      <c r="K22" s="166">
        <v>6.9</v>
      </c>
      <c r="L22" s="167">
        <v>10.5</v>
      </c>
      <c r="M22" s="168">
        <v>8.1</v>
      </c>
      <c r="N22" s="164"/>
      <c r="O22" s="169">
        <v>11</v>
      </c>
      <c r="P22" s="175">
        <f t="shared" si="0"/>
        <v>16</v>
      </c>
      <c r="Q22" s="171">
        <v>256</v>
      </c>
    </row>
    <row r="23" spans="2:18" ht="15.75">
      <c r="B23" s="39" t="s">
        <v>50</v>
      </c>
      <c r="C23" s="163" t="s">
        <v>51</v>
      </c>
      <c r="D23" s="163" t="s">
        <v>16</v>
      </c>
      <c r="E23" s="173">
        <v>0</v>
      </c>
      <c r="F23" s="174">
        <v>9.68</v>
      </c>
      <c r="G23" s="174">
        <v>0</v>
      </c>
      <c r="H23" s="173"/>
      <c r="I23" s="173"/>
      <c r="J23" s="165">
        <v>19</v>
      </c>
      <c r="K23" s="166">
        <v>6.9</v>
      </c>
      <c r="L23" s="167">
        <v>10.5</v>
      </c>
      <c r="M23" s="168">
        <v>8.3000000000000007</v>
      </c>
      <c r="N23" s="164"/>
      <c r="O23" s="169">
        <v>11</v>
      </c>
      <c r="P23" s="175">
        <f t="shared" si="0"/>
        <v>16</v>
      </c>
      <c r="Q23" s="171">
        <v>256</v>
      </c>
    </row>
    <row r="24" spans="2:18" ht="15.75">
      <c r="B24" s="39" t="s">
        <v>52</v>
      </c>
      <c r="C24" s="163" t="s">
        <v>53</v>
      </c>
      <c r="D24" s="163" t="s">
        <v>16</v>
      </c>
      <c r="E24" s="173">
        <v>0</v>
      </c>
      <c r="F24" s="174">
        <v>10.842000000000001</v>
      </c>
      <c r="G24" s="174">
        <v>0</v>
      </c>
      <c r="H24" s="173"/>
      <c r="I24" s="173"/>
      <c r="J24" s="165">
        <v>19</v>
      </c>
      <c r="K24" s="166">
        <v>6.9</v>
      </c>
      <c r="L24" s="167">
        <v>10.5</v>
      </c>
      <c r="M24" s="168">
        <v>8.5</v>
      </c>
      <c r="N24" s="164"/>
      <c r="O24" s="169">
        <v>11</v>
      </c>
      <c r="P24" s="175">
        <f t="shared" si="0"/>
        <v>17.920661157024796</v>
      </c>
      <c r="Q24" s="171">
        <v>256</v>
      </c>
    </row>
    <row r="25" spans="2:18" ht="15.75">
      <c r="B25" s="39" t="s">
        <v>54</v>
      </c>
      <c r="C25" s="163" t="s">
        <v>55</v>
      </c>
      <c r="D25" s="163" t="s">
        <v>16</v>
      </c>
      <c r="E25" s="173">
        <v>0</v>
      </c>
      <c r="F25" s="174">
        <v>10.842000000000001</v>
      </c>
      <c r="G25" s="174">
        <v>0</v>
      </c>
      <c r="H25" s="173"/>
      <c r="I25" s="173"/>
      <c r="J25" s="165">
        <v>19</v>
      </c>
      <c r="K25" s="166">
        <v>6.9</v>
      </c>
      <c r="L25" s="167">
        <v>10.5</v>
      </c>
      <c r="M25" s="168">
        <v>9.1</v>
      </c>
      <c r="N25" s="164"/>
      <c r="O25" s="169">
        <v>10</v>
      </c>
      <c r="P25" s="175">
        <f t="shared" si="0"/>
        <v>17.920661157024796</v>
      </c>
      <c r="Q25" s="171">
        <f>35.841*4*2</f>
        <v>286.72800000000001</v>
      </c>
    </row>
    <row r="26" spans="2:18" ht="15.75">
      <c r="B26" s="39" t="s">
        <v>56</v>
      </c>
      <c r="C26" s="163" t="s">
        <v>57</v>
      </c>
      <c r="D26" s="163" t="s">
        <v>16</v>
      </c>
      <c r="E26" s="173">
        <v>0</v>
      </c>
      <c r="F26" s="174">
        <v>10.842000000000001</v>
      </c>
      <c r="G26" s="174">
        <v>0</v>
      </c>
      <c r="H26" s="173"/>
      <c r="I26" s="173"/>
      <c r="J26" s="165">
        <v>19</v>
      </c>
      <c r="K26" s="166">
        <v>7.9</v>
      </c>
      <c r="L26" s="167">
        <v>10.5</v>
      </c>
      <c r="M26" s="168">
        <v>8.5</v>
      </c>
      <c r="N26" s="164"/>
      <c r="O26" s="169">
        <v>12</v>
      </c>
      <c r="P26" s="175">
        <f t="shared" si="0"/>
        <v>17.920661157024796</v>
      </c>
      <c r="Q26" s="171">
        <f>35.841*4*2</f>
        <v>286.72800000000001</v>
      </c>
    </row>
    <row r="27" spans="2:18" ht="15.75">
      <c r="B27" s="39" t="s">
        <v>58</v>
      </c>
      <c r="C27" s="163" t="s">
        <v>59</v>
      </c>
      <c r="D27" s="163" t="s">
        <v>16</v>
      </c>
      <c r="E27" s="173">
        <v>0</v>
      </c>
      <c r="F27" s="174">
        <v>10.842000000000001</v>
      </c>
      <c r="G27" s="174">
        <v>0</v>
      </c>
      <c r="H27" s="173"/>
      <c r="I27" s="173"/>
      <c r="J27" s="165">
        <v>19</v>
      </c>
      <c r="K27" s="166">
        <v>7.9</v>
      </c>
      <c r="L27" s="167">
        <v>10.5</v>
      </c>
      <c r="M27" s="168">
        <v>9</v>
      </c>
      <c r="N27" s="164"/>
      <c r="O27" s="169">
        <v>12</v>
      </c>
      <c r="P27" s="175">
        <f t="shared" si="0"/>
        <v>17.920661157024796</v>
      </c>
      <c r="Q27" s="171">
        <f>35.841*4*2</f>
        <v>286.72800000000001</v>
      </c>
    </row>
    <row r="28" spans="2:18" ht="15.75">
      <c r="B28" s="39" t="s">
        <v>60</v>
      </c>
      <c r="C28" s="163" t="s">
        <v>61</v>
      </c>
      <c r="D28" s="163" t="s">
        <v>16</v>
      </c>
      <c r="E28" s="173">
        <v>0</v>
      </c>
      <c r="F28" s="174">
        <v>12.003</v>
      </c>
      <c r="G28" s="174">
        <v>0</v>
      </c>
      <c r="H28" s="173"/>
      <c r="I28" s="173"/>
      <c r="J28" s="165">
        <v>20</v>
      </c>
      <c r="K28" s="166">
        <v>7.9</v>
      </c>
      <c r="L28" s="167">
        <v>10.5</v>
      </c>
      <c r="M28" s="168">
        <v>9</v>
      </c>
      <c r="N28" s="164"/>
      <c r="O28" s="169">
        <v>12</v>
      </c>
      <c r="P28" s="175">
        <f t="shared" si="0"/>
        <v>19.839669421487603</v>
      </c>
      <c r="Q28" s="171">
        <v>317.44</v>
      </c>
    </row>
    <row r="29" spans="2:18" ht="15.75">
      <c r="B29" s="39" t="s">
        <v>62</v>
      </c>
      <c r="C29" s="163" t="s">
        <v>63</v>
      </c>
      <c r="D29" s="163" t="s">
        <v>16</v>
      </c>
      <c r="E29" s="173">
        <v>0</v>
      </c>
      <c r="F29" s="174">
        <v>12.003</v>
      </c>
      <c r="G29" s="174">
        <v>0</v>
      </c>
      <c r="H29" s="173"/>
      <c r="I29" s="173"/>
      <c r="J29" s="165">
        <v>19</v>
      </c>
      <c r="K29" s="166">
        <v>7.9</v>
      </c>
      <c r="L29" s="167">
        <v>10.5</v>
      </c>
      <c r="M29" s="168">
        <v>9.5</v>
      </c>
      <c r="N29" s="164"/>
      <c r="O29" s="169">
        <v>12</v>
      </c>
      <c r="P29" s="175">
        <f t="shared" si="0"/>
        <v>19.839669421487603</v>
      </c>
      <c r="Q29" s="171">
        <v>317.44</v>
      </c>
    </row>
    <row r="30" spans="2:18" ht="15.75">
      <c r="B30" s="39" t="s">
        <v>64</v>
      </c>
      <c r="C30" s="163" t="s">
        <v>65</v>
      </c>
      <c r="D30" s="163" t="s">
        <v>16</v>
      </c>
      <c r="E30" s="173">
        <v>0</v>
      </c>
      <c r="F30" s="174">
        <v>12.003</v>
      </c>
      <c r="G30" s="174">
        <v>0</v>
      </c>
      <c r="H30" s="173"/>
      <c r="I30" s="173"/>
      <c r="J30" s="165">
        <v>19</v>
      </c>
      <c r="K30" s="166">
        <v>7.9</v>
      </c>
      <c r="L30" s="167">
        <v>10.5</v>
      </c>
      <c r="M30" s="168">
        <v>10</v>
      </c>
      <c r="N30" s="164"/>
      <c r="O30" s="169">
        <v>12</v>
      </c>
      <c r="P30" s="175">
        <f t="shared" si="0"/>
        <v>19.839669421487603</v>
      </c>
      <c r="Q30" s="171">
        <v>317.44</v>
      </c>
    </row>
    <row r="31" spans="2:18" ht="15.75">
      <c r="B31" s="39" t="s">
        <v>66</v>
      </c>
      <c r="C31" s="163" t="s">
        <v>67</v>
      </c>
      <c r="D31" s="163" t="s">
        <v>16</v>
      </c>
      <c r="E31" s="173">
        <v>0</v>
      </c>
      <c r="F31" s="174">
        <v>12.003</v>
      </c>
      <c r="G31" s="174">
        <v>0</v>
      </c>
      <c r="H31" s="173"/>
      <c r="I31" s="173"/>
      <c r="J31" s="165">
        <v>19</v>
      </c>
      <c r="K31" s="166">
        <v>7.9</v>
      </c>
      <c r="L31" s="167">
        <v>10.5</v>
      </c>
      <c r="M31" s="168">
        <v>11</v>
      </c>
      <c r="N31" s="164"/>
      <c r="O31" s="169">
        <v>12</v>
      </c>
      <c r="P31" s="175">
        <f t="shared" si="0"/>
        <v>19.839669421487603</v>
      </c>
      <c r="Q31" s="171">
        <v>317.44</v>
      </c>
    </row>
    <row r="32" spans="2:18" ht="15.75">
      <c r="B32" s="39" t="s">
        <v>68</v>
      </c>
      <c r="C32" s="163" t="s">
        <v>69</v>
      </c>
      <c r="D32" s="163" t="s">
        <v>16</v>
      </c>
      <c r="E32" s="173">
        <v>9.92</v>
      </c>
      <c r="F32" s="174">
        <v>12.003</v>
      </c>
      <c r="G32" s="174">
        <v>0</v>
      </c>
      <c r="H32" s="173"/>
      <c r="I32" s="173"/>
      <c r="J32" s="165">
        <v>19</v>
      </c>
      <c r="K32" s="166">
        <v>7.9</v>
      </c>
      <c r="L32" s="167">
        <v>10.5</v>
      </c>
      <c r="M32" s="168">
        <v>7</v>
      </c>
      <c r="N32" s="164"/>
      <c r="O32" s="169">
        <v>10</v>
      </c>
      <c r="P32" s="175">
        <f t="shared" si="0"/>
        <v>19.839669421487603</v>
      </c>
      <c r="Q32" s="171">
        <v>317.44</v>
      </c>
    </row>
    <row r="33" spans="2:20" ht="15.75">
      <c r="B33" s="39" t="s">
        <v>70</v>
      </c>
      <c r="C33" s="163" t="s">
        <v>71</v>
      </c>
      <c r="D33" s="163" t="s">
        <v>16</v>
      </c>
      <c r="E33" s="173">
        <v>0</v>
      </c>
      <c r="F33" s="174">
        <v>12.003</v>
      </c>
      <c r="G33" s="174">
        <v>0</v>
      </c>
      <c r="H33" s="173"/>
      <c r="I33" s="173"/>
      <c r="J33" s="165">
        <v>19</v>
      </c>
      <c r="K33" s="166">
        <v>7.9</v>
      </c>
      <c r="L33" s="167">
        <v>10.5</v>
      </c>
      <c r="M33" s="168">
        <v>7.3</v>
      </c>
      <c r="N33" s="164"/>
      <c r="O33" s="169">
        <v>10</v>
      </c>
      <c r="P33" s="175">
        <f t="shared" si="0"/>
        <v>19.839669421487603</v>
      </c>
      <c r="Q33" s="171">
        <v>317.44</v>
      </c>
    </row>
    <row r="34" spans="2:20" ht="15.75">
      <c r="B34" s="39" t="s">
        <v>72</v>
      </c>
      <c r="C34" s="163" t="s">
        <v>73</v>
      </c>
      <c r="D34" s="163" t="s">
        <v>16</v>
      </c>
      <c r="E34" s="173">
        <v>0</v>
      </c>
      <c r="F34" s="174">
        <v>12.003</v>
      </c>
      <c r="G34" s="174">
        <v>0</v>
      </c>
      <c r="H34" s="173"/>
      <c r="I34" s="173"/>
      <c r="J34" s="165">
        <v>19</v>
      </c>
      <c r="K34" s="166">
        <v>7.9</v>
      </c>
      <c r="L34" s="167">
        <v>10.5</v>
      </c>
      <c r="M34" s="168">
        <v>7.5</v>
      </c>
      <c r="N34" s="164"/>
      <c r="O34" s="169">
        <v>10</v>
      </c>
      <c r="P34" s="175">
        <f t="shared" si="0"/>
        <v>19.839669421487603</v>
      </c>
      <c r="Q34" s="171">
        <v>317.44</v>
      </c>
    </row>
    <row r="35" spans="2:20" ht="15.75">
      <c r="B35" s="39" t="s">
        <v>74</v>
      </c>
      <c r="C35" s="163" t="s">
        <v>75</v>
      </c>
      <c r="D35" s="163" t="s">
        <v>16</v>
      </c>
      <c r="E35" s="173">
        <v>0</v>
      </c>
      <c r="F35" s="174">
        <v>12.003</v>
      </c>
      <c r="G35" s="174">
        <v>0</v>
      </c>
      <c r="H35" s="173"/>
      <c r="I35" s="173"/>
      <c r="J35" s="165">
        <v>18</v>
      </c>
      <c r="K35" s="166">
        <v>6.9</v>
      </c>
      <c r="L35" s="167">
        <v>10.5</v>
      </c>
      <c r="M35" s="168">
        <v>10</v>
      </c>
      <c r="N35" s="164"/>
      <c r="O35" s="169">
        <v>10</v>
      </c>
      <c r="P35" s="175">
        <f t="shared" si="0"/>
        <v>19.839669421487603</v>
      </c>
      <c r="Q35" s="171">
        <v>317.44</v>
      </c>
    </row>
    <row r="36" spans="2:20" ht="15.75">
      <c r="B36" s="39" t="s">
        <v>76</v>
      </c>
      <c r="C36" s="163" t="s">
        <v>77</v>
      </c>
      <c r="D36" s="163" t="s">
        <v>16</v>
      </c>
      <c r="E36" s="173">
        <v>0</v>
      </c>
      <c r="F36" s="174">
        <v>10.842000000000001</v>
      </c>
      <c r="G36" s="174">
        <v>0</v>
      </c>
      <c r="H36" s="173"/>
      <c r="I36" s="173"/>
      <c r="J36" s="165">
        <v>15</v>
      </c>
      <c r="K36" s="166">
        <v>5.9</v>
      </c>
      <c r="L36" s="167">
        <v>8.5</v>
      </c>
      <c r="M36" s="168">
        <v>7.8</v>
      </c>
      <c r="N36" s="164"/>
      <c r="O36" s="169">
        <v>9</v>
      </c>
      <c r="P36" s="175">
        <f t="shared" si="0"/>
        <v>17.920661157024796</v>
      </c>
      <c r="Q36" s="171">
        <v>286.72000000000003</v>
      </c>
    </row>
    <row r="37" spans="2:20" ht="15.75">
      <c r="B37" s="39" t="s">
        <v>78</v>
      </c>
      <c r="C37" s="163" t="s">
        <v>79</v>
      </c>
      <c r="D37" s="163" t="s">
        <v>16</v>
      </c>
      <c r="E37" s="173">
        <v>0</v>
      </c>
      <c r="F37" s="174">
        <v>12.003</v>
      </c>
      <c r="G37" s="174">
        <v>0</v>
      </c>
      <c r="H37" s="173"/>
      <c r="I37" s="173"/>
      <c r="J37" s="165">
        <v>19</v>
      </c>
      <c r="K37" s="166">
        <v>7.9</v>
      </c>
      <c r="L37" s="167">
        <v>10.5</v>
      </c>
      <c r="M37" s="168">
        <v>10.5</v>
      </c>
      <c r="N37" s="164"/>
      <c r="O37" s="169">
        <v>12</v>
      </c>
      <c r="P37" s="175">
        <f t="shared" si="0"/>
        <v>19.839669421487603</v>
      </c>
      <c r="Q37" s="171">
        <v>317.44</v>
      </c>
    </row>
    <row r="38" spans="2:20" ht="15.75">
      <c r="B38" s="39" t="s">
        <v>80</v>
      </c>
      <c r="C38" s="163" t="s">
        <v>81</v>
      </c>
      <c r="D38" s="163" t="s">
        <v>16</v>
      </c>
      <c r="E38" s="173">
        <v>0</v>
      </c>
      <c r="F38" s="174">
        <v>10.842000000000001</v>
      </c>
      <c r="G38" s="174">
        <v>0</v>
      </c>
      <c r="H38" s="173"/>
      <c r="I38" s="173"/>
      <c r="J38" s="165">
        <v>18</v>
      </c>
      <c r="K38" s="166">
        <v>6.9</v>
      </c>
      <c r="L38" s="167">
        <v>8.5</v>
      </c>
      <c r="M38" s="168">
        <v>6.1</v>
      </c>
      <c r="N38" s="164"/>
      <c r="O38" s="169">
        <v>10</v>
      </c>
      <c r="P38" s="175">
        <f t="shared" si="0"/>
        <v>17.920661157024796</v>
      </c>
      <c r="Q38" s="171">
        <v>286.72000000000003</v>
      </c>
    </row>
    <row r="39" spans="2:20" ht="15.75">
      <c r="B39" s="39" t="s">
        <v>82</v>
      </c>
      <c r="C39" s="163" t="s">
        <v>83</v>
      </c>
      <c r="D39" s="163" t="s">
        <v>16</v>
      </c>
      <c r="E39" s="173">
        <v>0</v>
      </c>
      <c r="F39" s="174">
        <v>10.842000000000001</v>
      </c>
      <c r="G39" s="174">
        <v>0</v>
      </c>
      <c r="H39" s="173"/>
      <c r="I39" s="173"/>
      <c r="J39" s="165">
        <v>18</v>
      </c>
      <c r="K39" s="166">
        <v>6.9</v>
      </c>
      <c r="L39" s="167">
        <v>8.5</v>
      </c>
      <c r="M39" s="168">
        <v>6.5</v>
      </c>
      <c r="N39" s="164"/>
      <c r="O39" s="169">
        <v>10</v>
      </c>
      <c r="P39" s="175">
        <f t="shared" si="0"/>
        <v>17.920661157024796</v>
      </c>
      <c r="Q39" s="171">
        <v>286.72000000000003</v>
      </c>
      <c r="T39" s="4"/>
    </row>
    <row r="40" spans="2:20" ht="15.75">
      <c r="B40" s="39" t="s">
        <v>84</v>
      </c>
      <c r="C40" s="163" t="s">
        <v>85</v>
      </c>
      <c r="D40" s="163" t="s">
        <v>16</v>
      </c>
      <c r="E40" s="173">
        <v>0</v>
      </c>
      <c r="F40" s="174">
        <v>12.003</v>
      </c>
      <c r="G40" s="174">
        <v>0</v>
      </c>
      <c r="H40" s="173"/>
      <c r="I40" s="173"/>
      <c r="J40" s="165">
        <v>18</v>
      </c>
      <c r="K40" s="166">
        <v>5.9</v>
      </c>
      <c r="L40" s="167">
        <v>9.8000000000000007</v>
      </c>
      <c r="M40" s="168">
        <v>7.8</v>
      </c>
      <c r="N40" s="164"/>
      <c r="O40" s="169">
        <v>10</v>
      </c>
      <c r="P40" s="175">
        <f t="shared" si="0"/>
        <v>19.839669421487603</v>
      </c>
      <c r="Q40" s="171">
        <v>317.44</v>
      </c>
    </row>
    <row r="41" spans="2:20" ht="15.75">
      <c r="B41" s="39" t="s">
        <v>86</v>
      </c>
      <c r="C41" s="163" t="s">
        <v>87</v>
      </c>
      <c r="D41" s="163" t="s">
        <v>16</v>
      </c>
      <c r="E41" s="173">
        <v>0</v>
      </c>
      <c r="F41" s="174">
        <v>12.003</v>
      </c>
      <c r="G41" s="174">
        <v>0</v>
      </c>
      <c r="H41" s="173"/>
      <c r="I41" s="173"/>
      <c r="J41" s="165">
        <v>18</v>
      </c>
      <c r="K41" s="166">
        <v>5.9</v>
      </c>
      <c r="L41" s="167">
        <v>9.8000000000000007</v>
      </c>
      <c r="M41" s="168">
        <v>8.1</v>
      </c>
      <c r="N41" s="164"/>
      <c r="O41" s="169">
        <v>10</v>
      </c>
      <c r="P41" s="175">
        <f t="shared" si="0"/>
        <v>19.839669421487603</v>
      </c>
      <c r="Q41" s="171">
        <v>317.44</v>
      </c>
    </row>
    <row r="42" spans="2:20" ht="15.75">
      <c r="B42" s="39" t="s">
        <v>88</v>
      </c>
      <c r="C42" s="163" t="s">
        <v>89</v>
      </c>
      <c r="D42" s="163" t="s">
        <v>16</v>
      </c>
      <c r="E42" s="173">
        <v>0</v>
      </c>
      <c r="F42" s="174">
        <v>12.003</v>
      </c>
      <c r="G42" s="174">
        <v>0</v>
      </c>
      <c r="H42" s="173"/>
      <c r="I42" s="173"/>
      <c r="J42" s="165">
        <v>18</v>
      </c>
      <c r="K42" s="166">
        <v>5.9</v>
      </c>
      <c r="L42" s="167">
        <v>9.8000000000000007</v>
      </c>
      <c r="M42" s="168">
        <v>8.3000000000000007</v>
      </c>
      <c r="N42" s="164"/>
      <c r="O42" s="169">
        <v>10</v>
      </c>
      <c r="P42" s="175">
        <f t="shared" si="0"/>
        <v>19.839669421487603</v>
      </c>
      <c r="Q42" s="171">
        <v>317.44</v>
      </c>
    </row>
    <row r="43" spans="2:20" ht="15.75">
      <c r="B43" s="39" t="s">
        <v>90</v>
      </c>
      <c r="C43" s="163" t="s">
        <v>91</v>
      </c>
      <c r="D43" s="163" t="s">
        <v>16</v>
      </c>
      <c r="E43" s="173">
        <v>0</v>
      </c>
      <c r="F43" s="174">
        <v>12.003</v>
      </c>
      <c r="G43" s="174">
        <v>0</v>
      </c>
      <c r="H43" s="173"/>
      <c r="I43" s="173"/>
      <c r="J43" s="165">
        <v>18</v>
      </c>
      <c r="K43" s="166">
        <v>5.9</v>
      </c>
      <c r="L43" s="167">
        <v>9.8000000000000007</v>
      </c>
      <c r="M43" s="168">
        <v>7.3</v>
      </c>
      <c r="N43" s="164"/>
      <c r="O43" s="169">
        <v>10</v>
      </c>
      <c r="P43" s="175">
        <f t="shared" si="0"/>
        <v>19.839669421487603</v>
      </c>
      <c r="Q43" s="171">
        <v>317.44</v>
      </c>
    </row>
    <row r="44" spans="2:20" ht="15.75">
      <c r="B44" s="39" t="s">
        <v>92</v>
      </c>
      <c r="C44" s="163" t="s">
        <v>93</v>
      </c>
      <c r="D44" s="163" t="s">
        <v>16</v>
      </c>
      <c r="E44" s="173">
        <v>0</v>
      </c>
      <c r="F44" s="174">
        <v>12.003</v>
      </c>
      <c r="G44" s="174">
        <v>0</v>
      </c>
      <c r="H44" s="173"/>
      <c r="I44" s="173"/>
      <c r="J44" s="165">
        <v>15</v>
      </c>
      <c r="K44" s="166">
        <v>5.9</v>
      </c>
      <c r="L44" s="167">
        <v>8.5</v>
      </c>
      <c r="M44" s="168">
        <v>6.75</v>
      </c>
      <c r="N44" s="164"/>
      <c r="O44" s="169">
        <v>10</v>
      </c>
      <c r="P44" s="175">
        <f t="shared" si="0"/>
        <v>19.839669421487603</v>
      </c>
      <c r="Q44" s="171">
        <v>317.44</v>
      </c>
    </row>
    <row r="45" spans="2:20" ht="15.75">
      <c r="B45" s="39" t="s">
        <v>94</v>
      </c>
      <c r="C45" s="163" t="s">
        <v>95</v>
      </c>
      <c r="D45" s="163" t="s">
        <v>16</v>
      </c>
      <c r="E45" s="173">
        <v>0</v>
      </c>
      <c r="F45" s="174">
        <v>12.003</v>
      </c>
      <c r="G45" s="174">
        <v>0</v>
      </c>
      <c r="H45" s="173"/>
      <c r="I45" s="173"/>
      <c r="J45" s="165">
        <v>19</v>
      </c>
      <c r="K45" s="166">
        <v>7.9</v>
      </c>
      <c r="L45" s="167">
        <v>10.5</v>
      </c>
      <c r="M45" s="168">
        <v>7.8</v>
      </c>
      <c r="N45" s="164"/>
      <c r="O45" s="169">
        <v>10</v>
      </c>
      <c r="P45" s="175">
        <f t="shared" si="0"/>
        <v>19.839669421487603</v>
      </c>
      <c r="Q45" s="171">
        <v>317.44</v>
      </c>
    </row>
    <row r="46" spans="2:20" ht="15.75">
      <c r="B46" s="39" t="s">
        <v>96</v>
      </c>
      <c r="C46" s="163" t="s">
        <v>97</v>
      </c>
      <c r="D46" s="163" t="s">
        <v>16</v>
      </c>
      <c r="E46" s="173">
        <v>0</v>
      </c>
      <c r="F46" s="174">
        <v>10.842000000000001</v>
      </c>
      <c r="G46" s="174">
        <v>0</v>
      </c>
      <c r="H46" s="173"/>
      <c r="I46" s="173"/>
      <c r="J46" s="165">
        <v>18</v>
      </c>
      <c r="K46" s="166">
        <v>6.9</v>
      </c>
      <c r="L46" s="167">
        <v>8.5</v>
      </c>
      <c r="M46" s="168">
        <v>7.8</v>
      </c>
      <c r="N46" s="164"/>
      <c r="O46" s="169">
        <v>10</v>
      </c>
      <c r="P46" s="175">
        <f t="shared" si="0"/>
        <v>17.920661157024796</v>
      </c>
      <c r="Q46" s="171">
        <v>286.72000000000003</v>
      </c>
    </row>
    <row r="47" spans="2:20" ht="15.75">
      <c r="B47" s="39" t="s">
        <v>98</v>
      </c>
      <c r="C47" s="163" t="s">
        <v>99</v>
      </c>
      <c r="D47" s="163" t="s">
        <v>16</v>
      </c>
      <c r="E47" s="173">
        <v>0</v>
      </c>
      <c r="F47" s="174">
        <v>12.003</v>
      </c>
      <c r="G47" s="174">
        <v>0</v>
      </c>
      <c r="H47" s="173"/>
      <c r="I47" s="173"/>
      <c r="J47" s="165">
        <v>19</v>
      </c>
      <c r="K47" s="166">
        <v>6.9</v>
      </c>
      <c r="L47" s="167">
        <v>10.5</v>
      </c>
      <c r="M47" s="168">
        <v>9.5</v>
      </c>
      <c r="N47" s="164"/>
      <c r="O47" s="169">
        <v>10</v>
      </c>
      <c r="P47" s="175">
        <f t="shared" si="0"/>
        <v>19.839669421487603</v>
      </c>
      <c r="Q47" s="171">
        <v>317.44</v>
      </c>
    </row>
    <row r="48" spans="2:20" ht="15.75">
      <c r="B48" s="39" t="s">
        <v>100</v>
      </c>
      <c r="C48" s="163" t="s">
        <v>101</v>
      </c>
      <c r="D48" s="163" t="s">
        <v>16</v>
      </c>
      <c r="E48" s="173">
        <v>0</v>
      </c>
      <c r="F48" s="174">
        <v>13.164999999999999</v>
      </c>
      <c r="G48" s="174">
        <v>0</v>
      </c>
      <c r="H48" s="173"/>
      <c r="I48" s="173"/>
      <c r="J48" s="165">
        <v>18</v>
      </c>
      <c r="K48" s="166">
        <v>5.9</v>
      </c>
      <c r="L48" s="167">
        <v>8.5</v>
      </c>
      <c r="M48" s="168">
        <v>9.5</v>
      </c>
      <c r="N48" s="164"/>
      <c r="O48" s="169">
        <v>9</v>
      </c>
      <c r="P48" s="175">
        <f t="shared" si="0"/>
        <v>21.760330578512395</v>
      </c>
      <c r="Q48" s="171">
        <v>348.24</v>
      </c>
    </row>
    <row r="49" spans="2:17" ht="15.75">
      <c r="B49" s="39" t="s">
        <v>102</v>
      </c>
      <c r="C49" s="163" t="s">
        <v>103</v>
      </c>
      <c r="D49" s="163" t="s">
        <v>16</v>
      </c>
      <c r="E49" s="173">
        <v>0</v>
      </c>
      <c r="F49" s="174">
        <v>13.164999999999999</v>
      </c>
      <c r="G49" s="174">
        <v>0</v>
      </c>
      <c r="H49" s="173"/>
      <c r="I49" s="173"/>
      <c r="J49" s="165">
        <v>18</v>
      </c>
      <c r="K49" s="166">
        <v>5.9</v>
      </c>
      <c r="L49" s="167">
        <v>8.5</v>
      </c>
      <c r="M49" s="168">
        <v>10</v>
      </c>
      <c r="N49" s="164"/>
      <c r="O49" s="169">
        <v>9</v>
      </c>
      <c r="P49" s="175">
        <f t="shared" si="0"/>
        <v>21.760330578512395</v>
      </c>
      <c r="Q49" s="171">
        <v>348.24</v>
      </c>
    </row>
    <row r="50" spans="2:17" ht="15.75">
      <c r="B50" s="39" t="s">
        <v>104</v>
      </c>
      <c r="C50" s="163" t="s">
        <v>105</v>
      </c>
      <c r="D50" s="163" t="s">
        <v>16</v>
      </c>
      <c r="E50" s="173">
        <v>0</v>
      </c>
      <c r="F50" s="174">
        <v>8.1310000000000002</v>
      </c>
      <c r="G50" s="174">
        <v>0</v>
      </c>
      <c r="H50" s="173"/>
      <c r="I50" s="173"/>
      <c r="J50" s="165">
        <v>18</v>
      </c>
      <c r="K50" s="166">
        <v>5.9</v>
      </c>
      <c r="L50" s="167">
        <v>8.5</v>
      </c>
      <c r="M50" s="168">
        <v>6.5</v>
      </c>
      <c r="N50" s="164"/>
      <c r="O50" s="169">
        <v>8</v>
      </c>
      <c r="P50" s="175">
        <f t="shared" si="0"/>
        <v>13.439669421487604</v>
      </c>
      <c r="Q50" s="171">
        <v>215.04</v>
      </c>
    </row>
    <row r="51" spans="2:17" ht="15.75">
      <c r="B51" s="39" t="s">
        <v>106</v>
      </c>
      <c r="C51" s="163" t="s">
        <v>107</v>
      </c>
      <c r="D51" s="163" t="s">
        <v>16</v>
      </c>
      <c r="E51" s="173">
        <v>0</v>
      </c>
      <c r="F51" s="174">
        <v>8.1310000000000002</v>
      </c>
      <c r="G51" s="174">
        <v>0</v>
      </c>
      <c r="H51" s="173"/>
      <c r="I51" s="173"/>
      <c r="J51" s="165">
        <v>18</v>
      </c>
      <c r="K51" s="166">
        <v>5.9</v>
      </c>
      <c r="L51" s="167">
        <v>8.5</v>
      </c>
      <c r="M51" s="168">
        <v>7.8</v>
      </c>
      <c r="N51" s="164"/>
      <c r="O51" s="169">
        <v>8</v>
      </c>
      <c r="P51" s="175">
        <f t="shared" si="0"/>
        <v>13.439669421487604</v>
      </c>
      <c r="Q51" s="171">
        <v>215.04</v>
      </c>
    </row>
    <row r="52" spans="2:17" ht="15.75">
      <c r="B52" s="39" t="s">
        <v>108</v>
      </c>
      <c r="C52" s="163" t="s">
        <v>109</v>
      </c>
      <c r="D52" s="163" t="s">
        <v>16</v>
      </c>
      <c r="E52" s="173">
        <v>0</v>
      </c>
      <c r="F52" s="174">
        <v>12.003</v>
      </c>
      <c r="G52" s="174">
        <v>0</v>
      </c>
      <c r="H52" s="173"/>
      <c r="I52" s="173"/>
      <c r="J52" s="165">
        <v>18</v>
      </c>
      <c r="K52" s="166">
        <v>5.9</v>
      </c>
      <c r="L52" s="167">
        <v>9.8000000000000007</v>
      </c>
      <c r="M52" s="168">
        <v>7</v>
      </c>
      <c r="N52" s="164"/>
      <c r="O52" s="169">
        <v>10</v>
      </c>
      <c r="P52" s="175">
        <f t="shared" si="0"/>
        <v>19.839669421487603</v>
      </c>
      <c r="Q52" s="171">
        <v>317.44</v>
      </c>
    </row>
    <row r="53" spans="2:17" ht="15.75">
      <c r="B53" s="39" t="s">
        <v>110</v>
      </c>
      <c r="C53" s="163" t="s">
        <v>111</v>
      </c>
      <c r="D53" s="163" t="s">
        <v>16</v>
      </c>
      <c r="E53" s="173">
        <v>0</v>
      </c>
      <c r="F53" s="174">
        <v>12.003</v>
      </c>
      <c r="G53" s="174">
        <v>0</v>
      </c>
      <c r="H53" s="173"/>
      <c r="I53" s="173"/>
      <c r="J53" s="165">
        <v>18</v>
      </c>
      <c r="K53" s="166">
        <v>5.9</v>
      </c>
      <c r="L53" s="167">
        <v>9.8000000000000007</v>
      </c>
      <c r="M53" s="168">
        <v>7.5</v>
      </c>
      <c r="N53" s="164"/>
      <c r="O53" s="169">
        <v>10</v>
      </c>
      <c r="P53" s="175">
        <f t="shared" si="0"/>
        <v>19.839669421487603</v>
      </c>
      <c r="Q53" s="171">
        <v>317.44</v>
      </c>
    </row>
    <row r="54" spans="2:17" ht="15.75">
      <c r="B54" s="39" t="s">
        <v>112</v>
      </c>
      <c r="C54" s="163" t="s">
        <v>113</v>
      </c>
      <c r="D54" s="163" t="s">
        <v>16</v>
      </c>
      <c r="E54" s="173">
        <v>0</v>
      </c>
      <c r="F54" s="174">
        <v>13.164999999999999</v>
      </c>
      <c r="G54" s="174">
        <v>0</v>
      </c>
      <c r="H54" s="173"/>
      <c r="I54" s="173"/>
      <c r="J54" s="165">
        <v>18</v>
      </c>
      <c r="K54" s="166">
        <v>5.9</v>
      </c>
      <c r="L54" s="167">
        <v>8.5</v>
      </c>
      <c r="M54" s="168">
        <v>8.6999999999999993</v>
      </c>
      <c r="N54" s="164"/>
      <c r="O54" s="169">
        <v>10</v>
      </c>
      <c r="P54" s="175">
        <f t="shared" si="0"/>
        <v>21.760330578512395</v>
      </c>
      <c r="Q54" s="171">
        <v>348.24</v>
      </c>
    </row>
    <row r="55" spans="2:17" ht="15.75">
      <c r="B55" s="39" t="s">
        <v>114</v>
      </c>
      <c r="C55" s="163" t="s">
        <v>115</v>
      </c>
      <c r="D55" s="163" t="s">
        <v>16</v>
      </c>
      <c r="E55" s="173">
        <v>0</v>
      </c>
      <c r="F55" s="174">
        <v>14.714</v>
      </c>
      <c r="G55" s="174">
        <v>0</v>
      </c>
      <c r="H55" s="173"/>
      <c r="I55" s="173"/>
      <c r="J55" s="165">
        <v>18</v>
      </c>
      <c r="K55" s="166">
        <v>6.9</v>
      </c>
      <c r="L55" s="167">
        <v>10.5</v>
      </c>
      <c r="M55" s="168">
        <v>8.6999999999999993</v>
      </c>
      <c r="N55" s="164"/>
      <c r="O55" s="169">
        <v>10</v>
      </c>
      <c r="P55" s="175">
        <f t="shared" si="0"/>
        <v>24.320661157024794</v>
      </c>
      <c r="Q55" s="171">
        <v>389.12</v>
      </c>
    </row>
    <row r="56" spans="2:17" ht="15.75">
      <c r="B56" s="39" t="s">
        <v>116</v>
      </c>
      <c r="C56" s="163" t="s">
        <v>117</v>
      </c>
      <c r="D56" s="163" t="s">
        <v>16</v>
      </c>
      <c r="E56" s="173">
        <v>0</v>
      </c>
      <c r="F56" s="174">
        <v>12.003</v>
      </c>
      <c r="G56" s="174">
        <v>0</v>
      </c>
      <c r="H56" s="173"/>
      <c r="I56" s="173"/>
      <c r="J56" s="165">
        <v>18</v>
      </c>
      <c r="K56" s="166">
        <v>7.9</v>
      </c>
      <c r="L56" s="167">
        <v>10.5</v>
      </c>
      <c r="M56" s="168">
        <v>8.1</v>
      </c>
      <c r="N56" s="164"/>
      <c r="O56" s="169">
        <v>10</v>
      </c>
      <c r="P56" s="175">
        <f t="shared" si="0"/>
        <v>19.839669421487603</v>
      </c>
      <c r="Q56" s="171">
        <v>317.44</v>
      </c>
    </row>
    <row r="57" spans="2:17" ht="15.75">
      <c r="B57" s="39" t="s">
        <v>118</v>
      </c>
      <c r="C57" s="163" t="s">
        <v>119</v>
      </c>
      <c r="D57" s="163" t="s">
        <v>16</v>
      </c>
      <c r="E57" s="173">
        <v>0</v>
      </c>
      <c r="F57" s="174">
        <v>17.423999999999999</v>
      </c>
      <c r="G57" s="174">
        <v>0</v>
      </c>
      <c r="H57" s="173"/>
      <c r="I57" s="173"/>
      <c r="J57" s="165">
        <v>18</v>
      </c>
      <c r="K57" s="166">
        <v>5.9</v>
      </c>
      <c r="L57" s="167">
        <v>9.8000000000000007</v>
      </c>
      <c r="M57" s="168">
        <v>8.5</v>
      </c>
      <c r="N57" s="164"/>
      <c r="O57" s="169">
        <v>10</v>
      </c>
      <c r="P57" s="175">
        <f t="shared" si="0"/>
        <v>28.8</v>
      </c>
      <c r="Q57" s="171">
        <v>317.44</v>
      </c>
    </row>
    <row r="58" spans="2:17" ht="15.75">
      <c r="B58" s="39" t="s">
        <v>120</v>
      </c>
      <c r="C58" s="163" t="s">
        <v>121</v>
      </c>
      <c r="D58" s="163" t="s">
        <v>16</v>
      </c>
      <c r="E58" s="173">
        <v>0</v>
      </c>
      <c r="F58" s="174">
        <v>10.842000000000001</v>
      </c>
      <c r="G58" s="174">
        <v>0</v>
      </c>
      <c r="H58" s="173"/>
      <c r="I58" s="173"/>
      <c r="J58" s="165">
        <v>18</v>
      </c>
      <c r="K58" s="166">
        <v>6.9</v>
      </c>
      <c r="L58" s="167">
        <v>8.5</v>
      </c>
      <c r="M58" s="168">
        <v>8.1</v>
      </c>
      <c r="N58" s="164"/>
      <c r="O58" s="169">
        <v>10</v>
      </c>
      <c r="P58" s="175">
        <f t="shared" si="0"/>
        <v>17.920661157024796</v>
      </c>
      <c r="Q58" s="171">
        <v>286.72000000000003</v>
      </c>
    </row>
    <row r="59" spans="2:17" ht="15.75">
      <c r="B59" s="39" t="s">
        <v>122</v>
      </c>
      <c r="C59" s="163" t="s">
        <v>123</v>
      </c>
      <c r="D59" s="163" t="s">
        <v>16</v>
      </c>
      <c r="E59" s="173">
        <v>0</v>
      </c>
      <c r="F59" s="174">
        <v>10.842000000000001</v>
      </c>
      <c r="G59" s="174">
        <v>0</v>
      </c>
      <c r="H59" s="173"/>
      <c r="I59" s="173"/>
      <c r="J59" s="165">
        <v>18</v>
      </c>
      <c r="K59" s="166">
        <v>6.9</v>
      </c>
      <c r="L59" s="167">
        <v>8.5</v>
      </c>
      <c r="M59" s="168">
        <v>8.3000000000000007</v>
      </c>
      <c r="N59" s="164"/>
      <c r="O59" s="169">
        <v>10</v>
      </c>
      <c r="P59" s="175">
        <f t="shared" si="0"/>
        <v>17.920661157024796</v>
      </c>
      <c r="Q59" s="171">
        <v>286.72000000000003</v>
      </c>
    </row>
    <row r="60" spans="2:17" ht="15.75">
      <c r="B60" s="39" t="s">
        <v>124</v>
      </c>
      <c r="C60" s="163" t="s">
        <v>125</v>
      </c>
      <c r="D60" s="163" t="s">
        <v>16</v>
      </c>
      <c r="E60" s="173">
        <v>0</v>
      </c>
      <c r="F60" s="174">
        <v>12.777999999999999</v>
      </c>
      <c r="G60" s="174">
        <v>0</v>
      </c>
      <c r="H60" s="173"/>
      <c r="I60" s="173"/>
      <c r="J60" s="165">
        <v>15</v>
      </c>
      <c r="K60" s="166">
        <v>5.9</v>
      </c>
      <c r="L60" s="167">
        <v>8.5</v>
      </c>
      <c r="M60" s="168">
        <v>7.3</v>
      </c>
      <c r="N60" s="164"/>
      <c r="O60" s="169">
        <v>10</v>
      </c>
      <c r="P60" s="175">
        <f t="shared" si="0"/>
        <v>21.120661157024792</v>
      </c>
      <c r="Q60" s="171">
        <v>337.92</v>
      </c>
    </row>
    <row r="61" spans="2:17" ht="15.75">
      <c r="B61" s="39" t="s">
        <v>126</v>
      </c>
      <c r="C61" s="163" t="s">
        <v>127</v>
      </c>
      <c r="D61" s="163" t="s">
        <v>16</v>
      </c>
      <c r="E61" s="173">
        <v>0</v>
      </c>
      <c r="F61" s="174">
        <v>17.423999999999999</v>
      </c>
      <c r="G61" s="174">
        <v>0</v>
      </c>
      <c r="H61" s="173"/>
      <c r="I61" s="173"/>
      <c r="J61" s="169">
        <v>18</v>
      </c>
      <c r="K61" s="169">
        <v>6</v>
      </c>
      <c r="L61" s="169">
        <v>9.8000000000000007</v>
      </c>
      <c r="M61" s="168">
        <v>9</v>
      </c>
      <c r="N61" s="164"/>
      <c r="O61" s="169">
        <v>10</v>
      </c>
      <c r="P61" s="175">
        <f t="shared" si="0"/>
        <v>28.8</v>
      </c>
      <c r="Q61" s="171">
        <v>460.8</v>
      </c>
    </row>
    <row r="62" spans="2:17" ht="15.75">
      <c r="B62" s="39" t="s">
        <v>128</v>
      </c>
      <c r="C62" s="163" t="s">
        <v>129</v>
      </c>
      <c r="D62" s="163" t="s">
        <v>16</v>
      </c>
      <c r="E62" s="173">
        <v>0</v>
      </c>
      <c r="F62" s="174">
        <v>18.875999999999998</v>
      </c>
      <c r="G62" s="174">
        <v>0</v>
      </c>
      <c r="H62" s="173"/>
      <c r="I62" s="173"/>
      <c r="J62" s="169">
        <v>20</v>
      </c>
      <c r="K62" s="169">
        <v>7.9</v>
      </c>
      <c r="L62" s="169">
        <v>10.5</v>
      </c>
      <c r="M62" s="168">
        <v>8.5</v>
      </c>
      <c r="N62" s="164"/>
      <c r="O62" s="169">
        <v>14</v>
      </c>
      <c r="P62" s="175">
        <f t="shared" si="0"/>
        <v>31.199999999999996</v>
      </c>
      <c r="Q62" s="171">
        <v>499.2</v>
      </c>
    </row>
    <row r="63" spans="2:17" ht="15.75">
      <c r="B63" s="39" t="s">
        <v>130</v>
      </c>
      <c r="C63" s="163" t="s">
        <v>131</v>
      </c>
      <c r="D63" s="163" t="s">
        <v>16</v>
      </c>
      <c r="E63" s="173">
        <v>0</v>
      </c>
      <c r="F63" s="174">
        <v>24.006</v>
      </c>
      <c r="G63" s="174">
        <v>0</v>
      </c>
      <c r="H63" s="173"/>
      <c r="I63" s="173"/>
      <c r="J63" s="169">
        <v>22</v>
      </c>
      <c r="K63" s="169">
        <v>7.9</v>
      </c>
      <c r="L63" s="169">
        <v>10.5</v>
      </c>
      <c r="M63" s="168">
        <v>9.5</v>
      </c>
      <c r="N63" s="164"/>
      <c r="O63" s="169">
        <v>14</v>
      </c>
      <c r="P63" s="175">
        <f t="shared" si="0"/>
        <v>39.679338842975206</v>
      </c>
      <c r="Q63" s="171">
        <v>634.88</v>
      </c>
    </row>
    <row r="64" spans="2:17" ht="15.75">
      <c r="B64" s="39" t="s">
        <v>132</v>
      </c>
      <c r="C64" s="163" t="s">
        <v>133</v>
      </c>
      <c r="D64" s="163" t="s">
        <v>16</v>
      </c>
      <c r="E64" s="173">
        <v>0</v>
      </c>
      <c r="F64" s="174">
        <v>24.006</v>
      </c>
      <c r="G64" s="174">
        <v>0</v>
      </c>
      <c r="H64" s="173"/>
      <c r="I64" s="173"/>
      <c r="J64" s="169">
        <v>22</v>
      </c>
      <c r="K64" s="169">
        <v>7.9</v>
      </c>
      <c r="L64" s="169">
        <v>10.5</v>
      </c>
      <c r="M64" s="168">
        <v>10</v>
      </c>
      <c r="N64" s="164"/>
      <c r="O64" s="169">
        <v>14</v>
      </c>
      <c r="P64" s="175">
        <f t="shared" si="0"/>
        <v>39.679338842975206</v>
      </c>
      <c r="Q64" s="171">
        <v>634.88</v>
      </c>
    </row>
    <row r="65" spans="2:17" ht="15.75">
      <c r="B65" s="39" t="s">
        <v>134</v>
      </c>
      <c r="C65" s="163" t="s">
        <v>135</v>
      </c>
      <c r="D65" s="163" t="s">
        <v>16</v>
      </c>
      <c r="E65" s="173">
        <v>0</v>
      </c>
      <c r="F65" s="174">
        <v>24.006</v>
      </c>
      <c r="G65" s="174">
        <v>0</v>
      </c>
      <c r="H65" s="173"/>
      <c r="I65" s="173"/>
      <c r="J65" s="169">
        <v>22</v>
      </c>
      <c r="K65" s="169">
        <v>7.9</v>
      </c>
      <c r="L65" s="169">
        <v>10.5</v>
      </c>
      <c r="M65" s="168">
        <v>9</v>
      </c>
      <c r="N65" s="164"/>
      <c r="O65" s="169">
        <v>14</v>
      </c>
      <c r="P65" s="175">
        <f t="shared" ref="P65:P139" si="1">+(F65/1.21)*2</f>
        <v>39.679338842975206</v>
      </c>
      <c r="Q65" s="171">
        <v>634.88</v>
      </c>
    </row>
    <row r="66" spans="2:17" ht="15.75">
      <c r="B66" s="39" t="s">
        <v>136</v>
      </c>
      <c r="C66" s="163" t="s">
        <v>137</v>
      </c>
      <c r="D66" s="163" t="s">
        <v>16</v>
      </c>
      <c r="E66" s="173">
        <v>0</v>
      </c>
      <c r="F66" s="174">
        <v>24.006</v>
      </c>
      <c r="G66" s="174">
        <v>0</v>
      </c>
      <c r="H66" s="173"/>
      <c r="I66" s="173"/>
      <c r="J66" s="169">
        <v>19</v>
      </c>
      <c r="K66" s="169">
        <v>7.9</v>
      </c>
      <c r="L66" s="169">
        <v>10.5</v>
      </c>
      <c r="M66" s="168">
        <v>9.6999999999999993</v>
      </c>
      <c r="N66" s="164"/>
      <c r="O66" s="169">
        <v>12</v>
      </c>
      <c r="P66" s="175">
        <f t="shared" si="1"/>
        <v>39.679338842975206</v>
      </c>
      <c r="Q66" s="171">
        <f>317.44*2</f>
        <v>634.88</v>
      </c>
    </row>
    <row r="67" spans="2:17" ht="15.75">
      <c r="B67" s="39" t="s">
        <v>138</v>
      </c>
      <c r="C67" s="163"/>
      <c r="D67" s="163" t="s">
        <v>16</v>
      </c>
      <c r="E67" s="173">
        <v>0</v>
      </c>
      <c r="F67" s="174">
        <v>24.006</v>
      </c>
      <c r="G67" s="174">
        <v>0</v>
      </c>
      <c r="H67" s="173"/>
      <c r="I67" s="173"/>
      <c r="J67" s="169"/>
      <c r="K67" s="169"/>
      <c r="L67" s="169"/>
      <c r="M67" s="168"/>
      <c r="N67" s="164"/>
      <c r="O67" s="169"/>
      <c r="P67" s="175">
        <f t="shared" si="1"/>
        <v>39.679338842975206</v>
      </c>
      <c r="Q67" s="171"/>
    </row>
    <row r="68" spans="2:17" ht="15.75">
      <c r="B68" s="39" t="s">
        <v>139</v>
      </c>
      <c r="C68" s="163" t="s">
        <v>140</v>
      </c>
      <c r="D68" s="163" t="s">
        <v>16</v>
      </c>
      <c r="E68" s="173">
        <v>0</v>
      </c>
      <c r="F68" s="174">
        <v>124.87200000000001</v>
      </c>
      <c r="G68" s="174">
        <v>0</v>
      </c>
      <c r="H68" s="173"/>
      <c r="I68" s="173"/>
      <c r="J68" s="169">
        <v>16</v>
      </c>
      <c r="K68" s="169">
        <v>5.9</v>
      </c>
      <c r="L68" s="169">
        <v>10</v>
      </c>
      <c r="M68" s="168">
        <v>18</v>
      </c>
      <c r="N68" s="164"/>
      <c r="O68" s="169">
        <v>10.5</v>
      </c>
      <c r="P68" s="175">
        <f t="shared" si="1"/>
        <v>206.40000000000003</v>
      </c>
      <c r="Q68" s="176">
        <v>3310.47</v>
      </c>
    </row>
    <row r="69" spans="2:17" ht="15.75">
      <c r="B69" s="39" t="s">
        <v>141</v>
      </c>
      <c r="C69" s="163" t="s">
        <v>142</v>
      </c>
      <c r="D69" s="163" t="s">
        <v>16</v>
      </c>
      <c r="E69" s="173">
        <v>0</v>
      </c>
      <c r="F69" s="174">
        <v>12.003</v>
      </c>
      <c r="G69" s="174">
        <v>0</v>
      </c>
      <c r="H69" s="173"/>
      <c r="I69" s="173"/>
      <c r="J69" s="169">
        <v>15</v>
      </c>
      <c r="K69" s="169">
        <v>5.9</v>
      </c>
      <c r="L69" s="169">
        <v>8.5</v>
      </c>
      <c r="M69" s="168">
        <v>6</v>
      </c>
      <c r="N69" s="164"/>
      <c r="O69" s="169">
        <v>10.003</v>
      </c>
      <c r="P69" s="175">
        <f t="shared" si="1"/>
        <v>19.839669421487603</v>
      </c>
      <c r="Q69" s="171">
        <v>337.92</v>
      </c>
    </row>
    <row r="70" spans="2:17" ht="15.75">
      <c r="B70" s="39" t="s">
        <v>143</v>
      </c>
      <c r="C70" s="163" t="s">
        <v>144</v>
      </c>
      <c r="D70" s="163" t="s">
        <v>16</v>
      </c>
      <c r="E70" s="173">
        <v>0</v>
      </c>
      <c r="F70" s="174">
        <v>12.777999999999999</v>
      </c>
      <c r="G70" s="174">
        <v>0</v>
      </c>
      <c r="H70" s="173"/>
      <c r="I70" s="173"/>
      <c r="J70" s="169">
        <v>15</v>
      </c>
      <c r="K70" s="169">
        <v>5.9</v>
      </c>
      <c r="L70" s="169">
        <v>8.5</v>
      </c>
      <c r="M70" s="168">
        <v>7.5</v>
      </c>
      <c r="N70" s="164"/>
      <c r="O70" s="169">
        <v>10</v>
      </c>
      <c r="P70" s="175">
        <f t="shared" si="1"/>
        <v>21.120661157024792</v>
      </c>
      <c r="Q70" s="171">
        <v>337.92</v>
      </c>
    </row>
    <row r="71" spans="2:17" ht="15.75">
      <c r="B71" s="39" t="s">
        <v>145</v>
      </c>
      <c r="C71" s="163" t="s">
        <v>146</v>
      </c>
      <c r="D71" s="163" t="s">
        <v>16</v>
      </c>
      <c r="E71" s="173">
        <v>0</v>
      </c>
      <c r="F71" s="174">
        <v>24.006</v>
      </c>
      <c r="G71" s="174">
        <v>0</v>
      </c>
      <c r="H71" s="173"/>
      <c r="I71" s="173"/>
      <c r="J71" s="169">
        <v>19</v>
      </c>
      <c r="K71" s="169">
        <v>7.9</v>
      </c>
      <c r="L71" s="169">
        <v>10.5</v>
      </c>
      <c r="M71" s="168">
        <v>9.25</v>
      </c>
      <c r="N71" s="164"/>
      <c r="O71" s="169">
        <v>12</v>
      </c>
      <c r="P71" s="175">
        <f t="shared" si="1"/>
        <v>39.679338842975206</v>
      </c>
      <c r="Q71" s="171">
        <f>79.359*4*2</f>
        <v>634.87199999999996</v>
      </c>
    </row>
    <row r="72" spans="2:17" ht="15.75">
      <c r="B72" s="39" t="s">
        <v>147</v>
      </c>
      <c r="C72" s="163" t="s">
        <v>148</v>
      </c>
      <c r="D72" s="163" t="s">
        <v>16</v>
      </c>
      <c r="E72" s="173">
        <v>10.56</v>
      </c>
      <c r="F72" s="174">
        <v>12.777999999999999</v>
      </c>
      <c r="G72" s="174">
        <v>0</v>
      </c>
      <c r="H72" s="173"/>
      <c r="I72" s="173"/>
      <c r="J72" s="169">
        <v>15</v>
      </c>
      <c r="K72" s="169">
        <v>5.9</v>
      </c>
      <c r="L72" s="169">
        <v>8.5</v>
      </c>
      <c r="M72" s="168">
        <v>7</v>
      </c>
      <c r="N72" s="164"/>
      <c r="O72" s="169">
        <v>10</v>
      </c>
      <c r="P72" s="175">
        <f t="shared" si="1"/>
        <v>21.120661157024792</v>
      </c>
      <c r="Q72" s="171">
        <v>337.92</v>
      </c>
    </row>
    <row r="73" spans="2:17" ht="15.75">
      <c r="B73" s="39" t="s">
        <v>149</v>
      </c>
      <c r="C73" s="163" t="s">
        <v>150</v>
      </c>
      <c r="D73" s="163"/>
      <c r="E73" s="173"/>
      <c r="F73" s="174"/>
      <c r="G73" s="174"/>
      <c r="H73" s="173"/>
      <c r="I73" s="173"/>
      <c r="J73" s="169">
        <v>19</v>
      </c>
      <c r="K73" s="169">
        <v>7.9</v>
      </c>
      <c r="L73" s="169">
        <v>10.5</v>
      </c>
      <c r="M73" s="168">
        <v>8.6999999999999993</v>
      </c>
      <c r="N73" s="164"/>
      <c r="O73" s="169">
        <v>12.3</v>
      </c>
      <c r="P73" s="175"/>
      <c r="Q73" s="171">
        <v>317.44</v>
      </c>
    </row>
    <row r="74" spans="2:17" ht="15.75">
      <c r="B74" s="39" t="s">
        <v>151</v>
      </c>
      <c r="C74" s="163" t="s">
        <v>152</v>
      </c>
      <c r="D74" s="163"/>
      <c r="E74" s="173"/>
      <c r="F74" s="174"/>
      <c r="G74" s="174"/>
      <c r="H74" s="173"/>
      <c r="I74" s="173"/>
      <c r="J74" s="169">
        <v>16</v>
      </c>
      <c r="K74" s="169">
        <v>6</v>
      </c>
      <c r="L74" s="169">
        <v>10</v>
      </c>
      <c r="M74" s="168">
        <v>21</v>
      </c>
      <c r="N74" s="164"/>
      <c r="O74" s="169">
        <v>15</v>
      </c>
      <c r="P74" s="175"/>
      <c r="Q74" s="176">
        <v>4960</v>
      </c>
    </row>
    <row r="75" spans="2:17" ht="16.5" thickBot="1">
      <c r="B75" s="41" t="s">
        <v>153</v>
      </c>
      <c r="C75" s="177" t="s">
        <v>154</v>
      </c>
      <c r="D75" s="177"/>
      <c r="E75" s="178"/>
      <c r="F75" s="179"/>
      <c r="G75" s="179"/>
      <c r="H75" s="178"/>
      <c r="I75" s="178"/>
      <c r="J75" s="180">
        <v>22</v>
      </c>
      <c r="K75" s="180">
        <v>7.9</v>
      </c>
      <c r="L75" s="180">
        <v>10.8</v>
      </c>
      <c r="M75" s="181">
        <v>10.5</v>
      </c>
      <c r="N75" s="182"/>
      <c r="O75" s="180">
        <v>13.5</v>
      </c>
      <c r="P75" s="183"/>
      <c r="Q75" s="184">
        <v>634.88</v>
      </c>
    </row>
    <row r="76" spans="2:17">
      <c r="B76" s="13"/>
      <c r="C76" s="13"/>
      <c r="D76" s="13"/>
      <c r="E76" s="1"/>
      <c r="F76" s="3"/>
      <c r="G76" s="3"/>
      <c r="H76" s="1"/>
      <c r="I76" s="1"/>
      <c r="J76" s="1"/>
      <c r="K76" s="1"/>
      <c r="L76" s="1"/>
      <c r="P76" s="7"/>
      <c r="Q76" s="8"/>
    </row>
    <row r="77" spans="2:17" ht="13.5" thickBot="1">
      <c r="B77" s="13"/>
      <c r="C77" s="13"/>
      <c r="D77" s="13"/>
      <c r="E77" s="1"/>
      <c r="F77" s="3"/>
      <c r="G77" s="3"/>
      <c r="H77" s="1"/>
      <c r="I77" s="1"/>
      <c r="J77" s="1"/>
      <c r="K77" s="1"/>
      <c r="L77" s="1"/>
      <c r="P77" s="7"/>
      <c r="Q77" s="8"/>
    </row>
    <row r="78" spans="2:17">
      <c r="B78" s="358" t="s">
        <v>155</v>
      </c>
      <c r="C78" s="359"/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59"/>
      <c r="P78" s="359"/>
      <c r="Q78" s="360"/>
    </row>
    <row r="79" spans="2:17">
      <c r="B79" s="361"/>
      <c r="C79" s="362"/>
      <c r="D79" s="362"/>
      <c r="E79" s="362"/>
      <c r="F79" s="362"/>
      <c r="G79" s="362"/>
      <c r="H79" s="362"/>
      <c r="I79" s="362"/>
      <c r="J79" s="362"/>
      <c r="K79" s="362"/>
      <c r="L79" s="362"/>
      <c r="M79" s="362"/>
      <c r="N79" s="362"/>
      <c r="O79" s="362"/>
      <c r="P79" s="362"/>
      <c r="Q79" s="363"/>
    </row>
    <row r="80" spans="2:17" ht="30">
      <c r="B80" s="301" t="s">
        <v>6</v>
      </c>
      <c r="C80" s="302" t="s">
        <v>7</v>
      </c>
      <c r="D80" s="302"/>
      <c r="E80" s="44"/>
      <c r="F80" s="44"/>
      <c r="G80" s="44"/>
      <c r="H80" s="44"/>
      <c r="I80" s="44"/>
      <c r="J80" s="47" t="s">
        <v>8</v>
      </c>
      <c r="K80" s="47" t="s">
        <v>9</v>
      </c>
      <c r="L80" s="47" t="s">
        <v>10</v>
      </c>
      <c r="M80" s="47" t="s">
        <v>11</v>
      </c>
      <c r="N80" s="48"/>
      <c r="O80" s="47" t="s">
        <v>12</v>
      </c>
      <c r="P80" s="45"/>
      <c r="Q80" s="49" t="s">
        <v>13</v>
      </c>
    </row>
    <row r="81" spans="2:17" ht="15.75">
      <c r="B81" s="301" t="s">
        <v>156</v>
      </c>
      <c r="C81" s="232" t="s">
        <v>157</v>
      </c>
      <c r="D81" s="232" t="s">
        <v>16</v>
      </c>
      <c r="E81" s="233">
        <v>0</v>
      </c>
      <c r="F81" s="234">
        <v>18.875999999999998</v>
      </c>
      <c r="G81" s="234">
        <v>0</v>
      </c>
      <c r="H81" s="233"/>
      <c r="I81" s="233"/>
      <c r="J81" s="245">
        <v>19</v>
      </c>
      <c r="K81" s="245">
        <v>6.9</v>
      </c>
      <c r="L81" s="245">
        <v>10.5</v>
      </c>
      <c r="M81" s="246">
        <v>7</v>
      </c>
      <c r="N81" s="245"/>
      <c r="O81" s="245">
        <v>10</v>
      </c>
      <c r="P81" s="247">
        <f t="shared" si="1"/>
        <v>31.199999999999996</v>
      </c>
      <c r="Q81" s="237">
        <f>62.4*4*2</f>
        <v>499.2</v>
      </c>
    </row>
    <row r="82" spans="2:17" ht="15.75">
      <c r="B82" s="301" t="s">
        <v>158</v>
      </c>
      <c r="C82" s="232" t="s">
        <v>159</v>
      </c>
      <c r="D82" s="232" t="s">
        <v>16</v>
      </c>
      <c r="E82" s="233">
        <v>0</v>
      </c>
      <c r="F82" s="234">
        <v>18.875999999999998</v>
      </c>
      <c r="G82" s="234">
        <v>0</v>
      </c>
      <c r="H82" s="233"/>
      <c r="I82" s="233"/>
      <c r="J82" s="245">
        <v>19</v>
      </c>
      <c r="K82" s="245">
        <v>6.9</v>
      </c>
      <c r="L82" s="245">
        <v>10.5</v>
      </c>
      <c r="M82" s="246">
        <v>7.3</v>
      </c>
      <c r="N82" s="245"/>
      <c r="O82" s="245">
        <v>10</v>
      </c>
      <c r="P82" s="247">
        <f t="shared" si="1"/>
        <v>31.199999999999996</v>
      </c>
      <c r="Q82" s="237">
        <f>62.4*4*2</f>
        <v>499.2</v>
      </c>
    </row>
    <row r="83" spans="2:17" ht="15.75">
      <c r="B83" s="301" t="s">
        <v>160</v>
      </c>
      <c r="C83" s="232" t="s">
        <v>161</v>
      </c>
      <c r="D83" s="232" t="s">
        <v>16</v>
      </c>
      <c r="E83" s="233">
        <v>0</v>
      </c>
      <c r="F83" s="234">
        <v>18.875999999999998</v>
      </c>
      <c r="G83" s="234">
        <v>0</v>
      </c>
      <c r="H83" s="233"/>
      <c r="I83" s="233"/>
      <c r="J83" s="245">
        <v>19</v>
      </c>
      <c r="K83" s="245">
        <v>6.9</v>
      </c>
      <c r="L83" s="245">
        <v>10.5</v>
      </c>
      <c r="M83" s="246">
        <v>7.5</v>
      </c>
      <c r="N83" s="245"/>
      <c r="O83" s="245">
        <v>10</v>
      </c>
      <c r="P83" s="247">
        <f t="shared" si="1"/>
        <v>31.199999999999996</v>
      </c>
      <c r="Q83" s="237">
        <f>62.4*4*2</f>
        <v>499.2</v>
      </c>
    </row>
    <row r="84" spans="2:17" ht="15.75">
      <c r="B84" s="301" t="s">
        <v>162</v>
      </c>
      <c r="C84" s="232" t="s">
        <v>163</v>
      </c>
      <c r="D84" s="232" t="s">
        <v>16</v>
      </c>
      <c r="E84" s="233">
        <v>0</v>
      </c>
      <c r="F84" s="234">
        <v>18.875999999999998</v>
      </c>
      <c r="G84" s="234">
        <v>0</v>
      </c>
      <c r="H84" s="233"/>
      <c r="I84" s="233"/>
      <c r="J84" s="245">
        <v>19</v>
      </c>
      <c r="K84" s="245">
        <v>6.9</v>
      </c>
      <c r="L84" s="245">
        <v>10.5</v>
      </c>
      <c r="M84" s="246">
        <v>7.8</v>
      </c>
      <c r="N84" s="245"/>
      <c r="O84" s="245">
        <v>10</v>
      </c>
      <c r="P84" s="247">
        <f t="shared" si="1"/>
        <v>31.199999999999996</v>
      </c>
      <c r="Q84" s="237">
        <f>62.4*4*2</f>
        <v>499.2</v>
      </c>
    </row>
    <row r="85" spans="2:17" ht="15.75">
      <c r="B85" s="301" t="s">
        <v>164</v>
      </c>
      <c r="C85" s="232" t="s">
        <v>165</v>
      </c>
      <c r="D85" s="232" t="s">
        <v>16</v>
      </c>
      <c r="E85" s="233">
        <v>0</v>
      </c>
      <c r="F85" s="234">
        <v>18.875999999999998</v>
      </c>
      <c r="G85" s="234">
        <v>0</v>
      </c>
      <c r="H85" s="233"/>
      <c r="I85" s="233"/>
      <c r="J85" s="245">
        <v>19</v>
      </c>
      <c r="K85" s="245">
        <v>6.9</v>
      </c>
      <c r="L85" s="245">
        <v>10.5</v>
      </c>
      <c r="M85" s="246">
        <v>8.1</v>
      </c>
      <c r="N85" s="245"/>
      <c r="O85" s="245">
        <v>10</v>
      </c>
      <c r="P85" s="247">
        <f t="shared" si="1"/>
        <v>31.199999999999996</v>
      </c>
      <c r="Q85" s="237">
        <f>62.4*4*2</f>
        <v>499.2</v>
      </c>
    </row>
    <row r="86" spans="2:17" ht="15.75">
      <c r="B86" s="301" t="s">
        <v>166</v>
      </c>
      <c r="C86" s="232" t="s">
        <v>167</v>
      </c>
      <c r="D86" s="232" t="s">
        <v>16</v>
      </c>
      <c r="E86" s="233">
        <v>0</v>
      </c>
      <c r="F86" s="234">
        <v>21.440999999999999</v>
      </c>
      <c r="G86" s="234">
        <v>0</v>
      </c>
      <c r="H86" s="233"/>
      <c r="I86" s="233"/>
      <c r="J86" s="245">
        <v>19</v>
      </c>
      <c r="K86" s="245">
        <v>7.9</v>
      </c>
      <c r="L86" s="245">
        <v>10.5</v>
      </c>
      <c r="M86" s="246">
        <v>8.6999999999999993</v>
      </c>
      <c r="N86" s="245"/>
      <c r="O86" s="245">
        <v>12</v>
      </c>
      <c r="P86" s="247">
        <f t="shared" si="1"/>
        <v>35.439669421487601</v>
      </c>
      <c r="Q86" s="237">
        <f>70.879*4*2</f>
        <v>567.03200000000004</v>
      </c>
    </row>
    <row r="87" spans="2:17" ht="15.75">
      <c r="B87" s="301" t="s">
        <v>168</v>
      </c>
      <c r="C87" s="232" t="s">
        <v>169</v>
      </c>
      <c r="D87" s="232" t="s">
        <v>16</v>
      </c>
      <c r="E87" s="233">
        <v>0</v>
      </c>
      <c r="F87" s="234">
        <v>21.440999999999999</v>
      </c>
      <c r="G87" s="234">
        <v>0</v>
      </c>
      <c r="H87" s="233"/>
      <c r="I87" s="233"/>
      <c r="J87" s="245">
        <v>19</v>
      </c>
      <c r="K87" s="245">
        <v>7.9</v>
      </c>
      <c r="L87" s="245">
        <v>10.5</v>
      </c>
      <c r="M87" s="246">
        <v>9</v>
      </c>
      <c r="N87" s="245"/>
      <c r="O87" s="245">
        <v>12</v>
      </c>
      <c r="P87" s="247">
        <f t="shared" si="1"/>
        <v>35.439669421487601</v>
      </c>
      <c r="Q87" s="237">
        <f>70.879*4*2</f>
        <v>567.03200000000004</v>
      </c>
    </row>
    <row r="88" spans="2:17" ht="15.75">
      <c r="B88" s="301" t="s">
        <v>170</v>
      </c>
      <c r="C88" s="232" t="s">
        <v>171</v>
      </c>
      <c r="D88" s="232" t="s">
        <v>16</v>
      </c>
      <c r="E88" s="233">
        <v>0</v>
      </c>
      <c r="F88" s="234">
        <v>21.440999999999999</v>
      </c>
      <c r="G88" s="234">
        <v>0</v>
      </c>
      <c r="H88" s="233"/>
      <c r="I88" s="233"/>
      <c r="J88" s="245">
        <v>19</v>
      </c>
      <c r="K88" s="245">
        <v>7.9</v>
      </c>
      <c r="L88" s="245">
        <v>10.5</v>
      </c>
      <c r="M88" s="246">
        <v>8.5</v>
      </c>
      <c r="N88" s="245"/>
      <c r="O88" s="245">
        <v>12</v>
      </c>
      <c r="P88" s="247">
        <f t="shared" si="1"/>
        <v>35.439669421487601</v>
      </c>
      <c r="Q88" s="237">
        <f>70.879*4*2</f>
        <v>567.03200000000004</v>
      </c>
    </row>
    <row r="89" spans="2:17" ht="15.75">
      <c r="B89" s="301" t="s">
        <v>172</v>
      </c>
      <c r="C89" s="232" t="s">
        <v>173</v>
      </c>
      <c r="D89" s="232" t="s">
        <v>16</v>
      </c>
      <c r="E89" s="233">
        <v>0</v>
      </c>
      <c r="F89" s="234">
        <v>23.038</v>
      </c>
      <c r="G89" s="234">
        <v>0</v>
      </c>
      <c r="H89" s="233"/>
      <c r="I89" s="233"/>
      <c r="J89" s="245">
        <v>19</v>
      </c>
      <c r="K89" s="245">
        <v>7.9</v>
      </c>
      <c r="L89" s="245">
        <v>10.5</v>
      </c>
      <c r="M89" s="246">
        <v>9.5</v>
      </c>
      <c r="N89" s="245"/>
      <c r="O89" s="245">
        <v>12</v>
      </c>
      <c r="P89" s="247">
        <f t="shared" si="1"/>
        <v>38.079338842975211</v>
      </c>
      <c r="Q89" s="237">
        <v>609.12</v>
      </c>
    </row>
    <row r="90" spans="2:17" ht="15.75">
      <c r="B90" s="301" t="s">
        <v>174</v>
      </c>
      <c r="C90" s="232" t="s">
        <v>175</v>
      </c>
      <c r="D90" s="232" t="s">
        <v>16</v>
      </c>
      <c r="E90" s="233">
        <v>0</v>
      </c>
      <c r="F90" s="234">
        <v>23.038</v>
      </c>
      <c r="G90" s="234">
        <v>0</v>
      </c>
      <c r="H90" s="233"/>
      <c r="I90" s="233"/>
      <c r="J90" s="245">
        <v>19</v>
      </c>
      <c r="K90" s="245">
        <v>7.9</v>
      </c>
      <c r="L90" s="245">
        <v>10.5</v>
      </c>
      <c r="M90" s="246">
        <v>10.5</v>
      </c>
      <c r="N90" s="245"/>
      <c r="O90" s="245">
        <v>12</v>
      </c>
      <c r="P90" s="247">
        <f t="shared" si="1"/>
        <v>38.079338842975211</v>
      </c>
      <c r="Q90" s="237">
        <v>609.12</v>
      </c>
    </row>
    <row r="91" spans="2:17" ht="15.75">
      <c r="B91" s="301" t="s">
        <v>176</v>
      </c>
      <c r="C91" s="232" t="s">
        <v>177</v>
      </c>
      <c r="D91" s="232" t="s">
        <v>16</v>
      </c>
      <c r="E91" s="233">
        <v>0</v>
      </c>
      <c r="F91" s="234">
        <v>18.875999999999998</v>
      </c>
      <c r="G91" s="234">
        <v>0</v>
      </c>
      <c r="H91" s="233"/>
      <c r="I91" s="233"/>
      <c r="J91" s="245">
        <v>19</v>
      </c>
      <c r="K91" s="245">
        <v>6.9</v>
      </c>
      <c r="L91" s="245">
        <v>10.5</v>
      </c>
      <c r="M91" s="246">
        <v>8.3000000000000007</v>
      </c>
      <c r="N91" s="245"/>
      <c r="O91" s="245">
        <v>10</v>
      </c>
      <c r="P91" s="247">
        <f t="shared" si="1"/>
        <v>31.199999999999996</v>
      </c>
      <c r="Q91" s="237">
        <f>62.4*4*2</f>
        <v>499.2</v>
      </c>
    </row>
    <row r="92" spans="2:17" ht="15.75">
      <c r="B92" s="301" t="s">
        <v>178</v>
      </c>
      <c r="C92" s="232" t="s">
        <v>179</v>
      </c>
      <c r="D92" s="232" t="s">
        <v>16</v>
      </c>
      <c r="E92" s="233">
        <v>0</v>
      </c>
      <c r="F92" s="234">
        <v>22.99</v>
      </c>
      <c r="G92" s="234">
        <v>0</v>
      </c>
      <c r="H92" s="233"/>
      <c r="I92" s="233"/>
      <c r="J92" s="245">
        <v>19</v>
      </c>
      <c r="K92" s="245">
        <v>7.9</v>
      </c>
      <c r="L92" s="245">
        <v>10.5</v>
      </c>
      <c r="M92" s="246">
        <v>10</v>
      </c>
      <c r="N92" s="245"/>
      <c r="O92" s="245">
        <v>12</v>
      </c>
      <c r="P92" s="247">
        <f t="shared" si="1"/>
        <v>38</v>
      </c>
      <c r="Q92" s="237">
        <v>609.12</v>
      </c>
    </row>
    <row r="93" spans="2:17" ht="16.5" thickBot="1">
      <c r="B93" s="46" t="s">
        <v>180</v>
      </c>
      <c r="C93" s="239"/>
      <c r="D93" s="239" t="s">
        <v>16</v>
      </c>
      <c r="E93" s="240">
        <v>0</v>
      </c>
      <c r="F93" s="241">
        <v>26.135999999999999</v>
      </c>
      <c r="G93" s="241">
        <v>0</v>
      </c>
      <c r="H93" s="240"/>
      <c r="I93" s="240"/>
      <c r="J93" s="242"/>
      <c r="K93" s="242"/>
      <c r="L93" s="242"/>
      <c r="M93" s="248"/>
      <c r="N93" s="249"/>
      <c r="O93" s="250"/>
      <c r="P93" s="251">
        <f t="shared" si="1"/>
        <v>43.2</v>
      </c>
      <c r="Q93" s="252"/>
    </row>
    <row r="94" spans="2:17">
      <c r="B94" s="13"/>
      <c r="C94" s="13"/>
      <c r="D94" s="13"/>
      <c r="E94" s="1"/>
      <c r="F94" s="3"/>
      <c r="G94" s="3"/>
      <c r="H94" s="1"/>
      <c r="I94" s="1"/>
      <c r="J94" s="1"/>
      <c r="K94" s="1"/>
      <c r="L94" s="1"/>
      <c r="P94" s="7"/>
      <c r="Q94" s="8"/>
    </row>
    <row r="95" spans="2:17" ht="13.5" thickBot="1">
      <c r="B95" s="13"/>
      <c r="C95" s="13"/>
      <c r="D95" s="13"/>
      <c r="E95" s="1"/>
      <c r="F95" s="3"/>
      <c r="G95" s="3"/>
      <c r="H95" s="1"/>
      <c r="I95" s="1"/>
      <c r="J95" s="1"/>
      <c r="K95" s="1"/>
      <c r="L95" s="1"/>
      <c r="P95" s="7"/>
      <c r="Q95" s="8"/>
    </row>
    <row r="96" spans="2:17">
      <c r="B96" s="313" t="s">
        <v>181</v>
      </c>
      <c r="C96" s="364"/>
      <c r="D96" s="364"/>
      <c r="E96" s="364"/>
      <c r="F96" s="364"/>
      <c r="G96" s="364"/>
      <c r="H96" s="364"/>
      <c r="I96" s="364"/>
      <c r="J96" s="364"/>
      <c r="K96" s="364"/>
      <c r="L96" s="364"/>
      <c r="M96" s="364"/>
      <c r="N96" s="364"/>
      <c r="O96" s="364"/>
      <c r="P96" s="364"/>
      <c r="Q96" s="365"/>
    </row>
    <row r="97" spans="2:17">
      <c r="B97" s="366"/>
      <c r="C97" s="367"/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67"/>
      <c r="O97" s="367"/>
      <c r="P97" s="367"/>
      <c r="Q97" s="368"/>
    </row>
    <row r="98" spans="2:17" ht="30">
      <c r="B98" s="53" t="s">
        <v>6</v>
      </c>
      <c r="C98" s="54" t="s">
        <v>7</v>
      </c>
      <c r="D98" s="54"/>
      <c r="E98" s="55"/>
      <c r="F98" s="55"/>
      <c r="G98" s="55"/>
      <c r="H98" s="55"/>
      <c r="I98" s="55"/>
      <c r="J98" s="55" t="s">
        <v>8</v>
      </c>
      <c r="K98" s="55" t="s">
        <v>9</v>
      </c>
      <c r="L98" s="55" t="s">
        <v>10</v>
      </c>
      <c r="M98" s="55" t="s">
        <v>11</v>
      </c>
      <c r="N98" s="54"/>
      <c r="O98" s="55" t="s">
        <v>12</v>
      </c>
      <c r="P98" s="51"/>
      <c r="Q98" s="56" t="s">
        <v>13</v>
      </c>
    </row>
    <row r="99" spans="2:17" ht="15.75">
      <c r="B99" s="50" t="s">
        <v>182</v>
      </c>
      <c r="C99" s="149" t="s">
        <v>157</v>
      </c>
      <c r="D99" s="149" t="s">
        <v>16</v>
      </c>
      <c r="E99" s="150">
        <v>0</v>
      </c>
      <c r="F99" s="151">
        <v>24.684000000000001</v>
      </c>
      <c r="G99" s="151">
        <v>0</v>
      </c>
      <c r="H99" s="150"/>
      <c r="I99" s="150"/>
      <c r="J99" s="152">
        <v>19</v>
      </c>
      <c r="K99" s="152">
        <v>6.9</v>
      </c>
      <c r="L99" s="152">
        <v>10.5</v>
      </c>
      <c r="M99" s="153">
        <v>7</v>
      </c>
      <c r="N99" s="152"/>
      <c r="O99" s="152">
        <v>10</v>
      </c>
      <c r="P99" s="154">
        <f t="shared" si="1"/>
        <v>40.800000000000004</v>
      </c>
      <c r="Q99" s="155">
        <f>81.6*4*2</f>
        <v>652.79999999999995</v>
      </c>
    </row>
    <row r="100" spans="2:17" ht="15.75">
      <c r="B100" s="50" t="s">
        <v>183</v>
      </c>
      <c r="C100" s="149" t="s">
        <v>184</v>
      </c>
      <c r="D100" s="149" t="s">
        <v>16</v>
      </c>
      <c r="E100" s="150">
        <v>0</v>
      </c>
      <c r="F100" s="151">
        <v>24.684000000000001</v>
      </c>
      <c r="G100" s="151">
        <v>0</v>
      </c>
      <c r="H100" s="150"/>
      <c r="I100" s="150"/>
      <c r="J100" s="152">
        <v>19</v>
      </c>
      <c r="K100" s="152">
        <v>6.9</v>
      </c>
      <c r="L100" s="152">
        <v>10.5</v>
      </c>
      <c r="M100" s="153">
        <v>7.3</v>
      </c>
      <c r="N100" s="152"/>
      <c r="O100" s="152">
        <v>10</v>
      </c>
      <c r="P100" s="154">
        <f t="shared" si="1"/>
        <v>40.800000000000004</v>
      </c>
      <c r="Q100" s="155">
        <f>81.6*4*2</f>
        <v>652.79999999999995</v>
      </c>
    </row>
    <row r="101" spans="2:17" ht="15.75">
      <c r="B101" s="50" t="s">
        <v>185</v>
      </c>
      <c r="C101" s="149" t="s">
        <v>161</v>
      </c>
      <c r="D101" s="149" t="s">
        <v>16</v>
      </c>
      <c r="E101" s="150">
        <v>0</v>
      </c>
      <c r="F101" s="151">
        <v>24.684000000000001</v>
      </c>
      <c r="G101" s="151">
        <v>0</v>
      </c>
      <c r="H101" s="150"/>
      <c r="I101" s="150"/>
      <c r="J101" s="152">
        <v>19</v>
      </c>
      <c r="K101" s="152">
        <v>6.9</v>
      </c>
      <c r="L101" s="152">
        <v>10.5</v>
      </c>
      <c r="M101" s="153">
        <v>7.5</v>
      </c>
      <c r="N101" s="152"/>
      <c r="O101" s="152">
        <v>10</v>
      </c>
      <c r="P101" s="154">
        <f t="shared" si="1"/>
        <v>40.800000000000004</v>
      </c>
      <c r="Q101" s="155">
        <f>81.6*4*2</f>
        <v>652.79999999999995</v>
      </c>
    </row>
    <row r="102" spans="2:17" ht="15.75">
      <c r="B102" s="50" t="s">
        <v>186</v>
      </c>
      <c r="C102" s="149" t="s">
        <v>163</v>
      </c>
      <c r="D102" s="149" t="s">
        <v>16</v>
      </c>
      <c r="E102" s="150">
        <v>0</v>
      </c>
      <c r="F102" s="151">
        <v>24.684000000000001</v>
      </c>
      <c r="G102" s="151">
        <v>0</v>
      </c>
      <c r="H102" s="150"/>
      <c r="I102" s="150"/>
      <c r="J102" s="152">
        <v>19</v>
      </c>
      <c r="K102" s="152">
        <v>6.9</v>
      </c>
      <c r="L102" s="152">
        <v>10.5</v>
      </c>
      <c r="M102" s="153">
        <v>7.8</v>
      </c>
      <c r="N102" s="152"/>
      <c r="O102" s="152">
        <v>10</v>
      </c>
      <c r="P102" s="154">
        <f t="shared" si="1"/>
        <v>40.800000000000004</v>
      </c>
      <c r="Q102" s="155">
        <f>81.6*4*2</f>
        <v>652.79999999999995</v>
      </c>
    </row>
    <row r="103" spans="2:17" ht="15.75">
      <c r="B103" s="50" t="s">
        <v>187</v>
      </c>
      <c r="C103" s="149" t="s">
        <v>165</v>
      </c>
      <c r="D103" s="149" t="s">
        <v>16</v>
      </c>
      <c r="E103" s="150">
        <v>0</v>
      </c>
      <c r="F103" s="151">
        <v>24.684000000000001</v>
      </c>
      <c r="G103" s="151">
        <v>0</v>
      </c>
      <c r="H103" s="150"/>
      <c r="I103" s="150"/>
      <c r="J103" s="152">
        <v>19</v>
      </c>
      <c r="K103" s="152">
        <v>6.9</v>
      </c>
      <c r="L103" s="152">
        <v>10.5</v>
      </c>
      <c r="M103" s="153">
        <v>8.1</v>
      </c>
      <c r="N103" s="152"/>
      <c r="O103" s="152">
        <v>10</v>
      </c>
      <c r="P103" s="154">
        <f t="shared" si="1"/>
        <v>40.800000000000004</v>
      </c>
      <c r="Q103" s="155">
        <f>81.6*4*2</f>
        <v>652.79999999999995</v>
      </c>
    </row>
    <row r="104" spans="2:17" ht="15.75">
      <c r="B104" s="50" t="s">
        <v>188</v>
      </c>
      <c r="C104" s="149" t="s">
        <v>189</v>
      </c>
      <c r="D104" s="149" t="s">
        <v>16</v>
      </c>
      <c r="E104" s="150">
        <v>0</v>
      </c>
      <c r="F104" s="151">
        <v>26.861999999999998</v>
      </c>
      <c r="G104" s="151">
        <v>0</v>
      </c>
      <c r="H104" s="150"/>
      <c r="I104" s="150"/>
      <c r="J104" s="152">
        <v>19</v>
      </c>
      <c r="K104" s="152">
        <v>7.8</v>
      </c>
      <c r="L104" s="152">
        <v>10.5</v>
      </c>
      <c r="M104" s="153">
        <v>8.6999999999999993</v>
      </c>
      <c r="N104" s="152"/>
      <c r="O104" s="152">
        <v>12</v>
      </c>
      <c r="P104" s="154">
        <f t="shared" si="1"/>
        <v>44.4</v>
      </c>
      <c r="Q104" s="155">
        <f>88.8*4*2</f>
        <v>710.4</v>
      </c>
    </row>
    <row r="105" spans="2:17" ht="15.75">
      <c r="B105" s="50" t="s">
        <v>190</v>
      </c>
      <c r="C105" s="149" t="s">
        <v>169</v>
      </c>
      <c r="D105" s="149" t="s">
        <v>16</v>
      </c>
      <c r="E105" s="150">
        <v>0</v>
      </c>
      <c r="F105" s="151">
        <v>26.861999999999998</v>
      </c>
      <c r="G105" s="151">
        <v>0</v>
      </c>
      <c r="H105" s="150"/>
      <c r="I105" s="150"/>
      <c r="J105" s="152">
        <v>19</v>
      </c>
      <c r="K105" s="152">
        <v>7.8</v>
      </c>
      <c r="L105" s="152">
        <v>10.5</v>
      </c>
      <c r="M105" s="153">
        <v>9</v>
      </c>
      <c r="N105" s="152"/>
      <c r="O105" s="152">
        <v>12</v>
      </c>
      <c r="P105" s="154">
        <f t="shared" si="1"/>
        <v>44.4</v>
      </c>
      <c r="Q105" s="155">
        <f>88.8*4*2</f>
        <v>710.4</v>
      </c>
    </row>
    <row r="106" spans="2:17" ht="15.75">
      <c r="B106" s="50" t="s">
        <v>191</v>
      </c>
      <c r="C106" s="149" t="s">
        <v>171</v>
      </c>
      <c r="D106" s="149" t="s">
        <v>16</v>
      </c>
      <c r="E106" s="150">
        <v>0</v>
      </c>
      <c r="F106" s="151">
        <v>26.861999999999998</v>
      </c>
      <c r="G106" s="151">
        <v>0</v>
      </c>
      <c r="H106" s="150"/>
      <c r="I106" s="150"/>
      <c r="J106" s="152">
        <v>19</v>
      </c>
      <c r="K106" s="152">
        <v>7.9</v>
      </c>
      <c r="L106" s="152">
        <v>10.5</v>
      </c>
      <c r="M106" s="153">
        <v>8.5</v>
      </c>
      <c r="N106" s="152"/>
      <c r="O106" s="152">
        <v>12</v>
      </c>
      <c r="P106" s="154">
        <f t="shared" si="1"/>
        <v>44.4</v>
      </c>
      <c r="Q106" s="155">
        <f>88.8*4*2</f>
        <v>710.4</v>
      </c>
    </row>
    <row r="107" spans="2:17" ht="15.75">
      <c r="B107" s="50" t="s">
        <v>192</v>
      </c>
      <c r="C107" s="149" t="s">
        <v>177</v>
      </c>
      <c r="D107" s="149" t="s">
        <v>16</v>
      </c>
      <c r="E107" s="150">
        <v>0</v>
      </c>
      <c r="F107" s="151">
        <v>24.684000000000001</v>
      </c>
      <c r="G107" s="151">
        <v>0</v>
      </c>
      <c r="H107" s="150"/>
      <c r="I107" s="150"/>
      <c r="J107" s="152">
        <v>19</v>
      </c>
      <c r="K107" s="152">
        <v>6.9</v>
      </c>
      <c r="L107" s="152">
        <v>10.5</v>
      </c>
      <c r="M107" s="153">
        <v>8.3000000000000007</v>
      </c>
      <c r="N107" s="152"/>
      <c r="O107" s="152">
        <v>10</v>
      </c>
      <c r="P107" s="154">
        <f t="shared" si="1"/>
        <v>40.800000000000004</v>
      </c>
      <c r="Q107" s="155">
        <f>81.6*4*2</f>
        <v>652.79999999999995</v>
      </c>
    </row>
    <row r="108" spans="2:17" ht="16.5" thickBot="1">
      <c r="B108" s="52" t="s">
        <v>193</v>
      </c>
      <c r="C108" s="156" t="s">
        <v>194</v>
      </c>
      <c r="D108" s="156" t="s">
        <v>16</v>
      </c>
      <c r="E108" s="157">
        <v>0</v>
      </c>
      <c r="F108" s="158">
        <v>26.861999999999998</v>
      </c>
      <c r="G108" s="158">
        <v>0</v>
      </c>
      <c r="H108" s="157"/>
      <c r="I108" s="157"/>
      <c r="J108" s="157">
        <v>19</v>
      </c>
      <c r="K108" s="157">
        <v>7.9</v>
      </c>
      <c r="L108" s="157">
        <v>10.5</v>
      </c>
      <c r="M108" s="159">
        <v>9.5</v>
      </c>
      <c r="N108" s="160"/>
      <c r="O108" s="161">
        <v>12</v>
      </c>
      <c r="P108" s="162">
        <f t="shared" si="1"/>
        <v>44.4</v>
      </c>
      <c r="Q108" s="155">
        <f>88.8*4*2</f>
        <v>710.4</v>
      </c>
    </row>
    <row r="109" spans="2:17">
      <c r="B109" s="13"/>
      <c r="C109" s="10"/>
      <c r="D109" s="13"/>
      <c r="E109" s="1"/>
      <c r="F109" s="3"/>
      <c r="G109" s="3"/>
      <c r="H109" s="1"/>
      <c r="I109" s="1"/>
      <c r="J109" s="1"/>
      <c r="K109" s="1"/>
      <c r="L109" s="1"/>
      <c r="P109" s="7"/>
      <c r="Q109" s="8"/>
    </row>
    <row r="110" spans="2:17" ht="13.5" thickBot="1">
      <c r="B110" s="13"/>
      <c r="C110" s="10"/>
      <c r="D110" s="13"/>
      <c r="E110" s="1"/>
      <c r="F110" s="3"/>
      <c r="G110" s="3"/>
      <c r="H110" s="1"/>
      <c r="I110" s="1"/>
      <c r="J110" s="1"/>
      <c r="K110" s="1"/>
      <c r="L110" s="1"/>
      <c r="P110" s="7"/>
      <c r="Q110" s="8"/>
    </row>
    <row r="111" spans="2:17">
      <c r="B111" s="369" t="s">
        <v>195</v>
      </c>
      <c r="C111" s="370"/>
      <c r="D111" s="370"/>
      <c r="E111" s="370"/>
      <c r="F111" s="370"/>
      <c r="G111" s="370"/>
      <c r="H111" s="370"/>
      <c r="I111" s="370"/>
      <c r="J111" s="370"/>
      <c r="K111" s="370"/>
      <c r="L111" s="370"/>
      <c r="M111" s="370"/>
      <c r="N111" s="370"/>
      <c r="O111" s="370"/>
      <c r="P111" s="370"/>
      <c r="Q111" s="371"/>
    </row>
    <row r="112" spans="2:17" ht="13.5" thickBot="1">
      <c r="B112" s="372"/>
      <c r="C112" s="373"/>
      <c r="D112" s="373"/>
      <c r="E112" s="373"/>
      <c r="F112" s="373"/>
      <c r="G112" s="373"/>
      <c r="H112" s="373"/>
      <c r="I112" s="373"/>
      <c r="J112" s="373"/>
      <c r="K112" s="373"/>
      <c r="L112" s="373"/>
      <c r="M112" s="373"/>
      <c r="N112" s="373"/>
      <c r="O112" s="373"/>
      <c r="P112" s="373"/>
      <c r="Q112" s="374"/>
    </row>
    <row r="113" spans="2:17" ht="30">
      <c r="B113" s="132" t="s">
        <v>6</v>
      </c>
      <c r="C113" s="133" t="s">
        <v>7</v>
      </c>
      <c r="D113" s="133"/>
      <c r="E113" s="134"/>
      <c r="F113" s="135"/>
      <c r="G113" s="135"/>
      <c r="H113" s="134"/>
      <c r="I113" s="134"/>
      <c r="J113" s="136" t="s">
        <v>8</v>
      </c>
      <c r="K113" s="136" t="s">
        <v>9</v>
      </c>
      <c r="L113" s="136" t="s">
        <v>10</v>
      </c>
      <c r="M113" s="135" t="s">
        <v>11</v>
      </c>
      <c r="N113" s="137"/>
      <c r="O113" s="135" t="s">
        <v>12</v>
      </c>
      <c r="P113" s="138"/>
      <c r="Q113" s="139" t="s">
        <v>13</v>
      </c>
    </row>
    <row r="114" spans="2:17" ht="15.75">
      <c r="B114" s="57" t="s">
        <v>196</v>
      </c>
      <c r="C114" s="199" t="s">
        <v>197</v>
      </c>
      <c r="D114" s="199" t="s">
        <v>16</v>
      </c>
      <c r="E114" s="200">
        <v>0</v>
      </c>
      <c r="F114" s="201">
        <v>16.649999999999999</v>
      </c>
      <c r="G114" s="201">
        <v>0</v>
      </c>
      <c r="H114" s="200"/>
      <c r="I114" s="200"/>
      <c r="J114" s="215">
        <v>20</v>
      </c>
      <c r="K114" s="215">
        <v>7.9</v>
      </c>
      <c r="L114" s="215">
        <v>10.5</v>
      </c>
      <c r="M114" s="216">
        <v>9</v>
      </c>
      <c r="N114" s="215"/>
      <c r="O114" s="215">
        <v>22</v>
      </c>
      <c r="P114" s="223">
        <f t="shared" si="1"/>
        <v>27.52066115702479</v>
      </c>
      <c r="Q114" s="204">
        <v>860.19</v>
      </c>
    </row>
    <row r="115" spans="2:17" ht="15.75">
      <c r="B115" s="57" t="s">
        <v>198</v>
      </c>
      <c r="C115" s="199" t="s">
        <v>199</v>
      </c>
      <c r="D115" s="199" t="s">
        <v>16</v>
      </c>
      <c r="E115" s="200">
        <v>0</v>
      </c>
      <c r="F115" s="201">
        <v>76.084999999999994</v>
      </c>
      <c r="G115" s="201">
        <v>0</v>
      </c>
      <c r="H115" s="200"/>
      <c r="I115" s="200"/>
      <c r="J115" s="215">
        <v>22</v>
      </c>
      <c r="K115" s="215">
        <v>7.9</v>
      </c>
      <c r="L115" s="215">
        <v>11</v>
      </c>
      <c r="M115" s="216">
        <v>10.3</v>
      </c>
      <c r="N115" s="215"/>
      <c r="O115" s="215">
        <v>12.5</v>
      </c>
      <c r="P115" s="223">
        <f t="shared" si="1"/>
        <v>125.7603305785124</v>
      </c>
      <c r="Q115" s="224">
        <v>2012.16</v>
      </c>
    </row>
    <row r="116" spans="2:17" ht="15.75">
      <c r="B116" s="57" t="s">
        <v>200</v>
      </c>
      <c r="C116" s="199" t="s">
        <v>201</v>
      </c>
      <c r="D116" s="199" t="s">
        <v>16</v>
      </c>
      <c r="E116" s="200">
        <v>0</v>
      </c>
      <c r="F116" s="201">
        <v>76.084999999999994</v>
      </c>
      <c r="G116" s="201">
        <v>0</v>
      </c>
      <c r="H116" s="200"/>
      <c r="I116" s="200"/>
      <c r="J116" s="215">
        <v>22</v>
      </c>
      <c r="K116" s="215">
        <v>7.9</v>
      </c>
      <c r="L116" s="215">
        <v>11</v>
      </c>
      <c r="M116" s="216">
        <v>10.5</v>
      </c>
      <c r="N116" s="215"/>
      <c r="O116" s="215">
        <v>12.5</v>
      </c>
      <c r="P116" s="223">
        <f t="shared" si="1"/>
        <v>125.7603305785124</v>
      </c>
      <c r="Q116" s="224">
        <v>2012.16</v>
      </c>
    </row>
    <row r="117" spans="2:17" ht="15.75">
      <c r="B117" s="57" t="s">
        <v>202</v>
      </c>
      <c r="C117" s="199" t="s">
        <v>203</v>
      </c>
      <c r="D117" s="199" t="s">
        <v>16</v>
      </c>
      <c r="E117" s="200">
        <v>0</v>
      </c>
      <c r="F117" s="201">
        <v>76.084999999999994</v>
      </c>
      <c r="G117" s="201">
        <v>0</v>
      </c>
      <c r="H117" s="200"/>
      <c r="I117" s="200"/>
      <c r="J117" s="215">
        <v>22</v>
      </c>
      <c r="K117" s="215">
        <v>7.9</v>
      </c>
      <c r="L117" s="215">
        <v>11</v>
      </c>
      <c r="M117" s="216">
        <v>10.7</v>
      </c>
      <c r="N117" s="215"/>
      <c r="O117" s="215">
        <v>12.5</v>
      </c>
      <c r="P117" s="223">
        <f t="shared" si="1"/>
        <v>125.7603305785124</v>
      </c>
      <c r="Q117" s="224">
        <v>2012.16</v>
      </c>
    </row>
    <row r="118" spans="2:17" ht="15.75">
      <c r="B118" s="57" t="s">
        <v>204</v>
      </c>
      <c r="C118" s="199" t="s">
        <v>205</v>
      </c>
      <c r="D118" s="199" t="s">
        <v>16</v>
      </c>
      <c r="E118" s="200">
        <v>0</v>
      </c>
      <c r="F118" s="201">
        <v>76.084999999999994</v>
      </c>
      <c r="G118" s="201">
        <v>0</v>
      </c>
      <c r="H118" s="200"/>
      <c r="I118" s="200"/>
      <c r="J118" s="215">
        <v>22</v>
      </c>
      <c r="K118" s="215">
        <v>7.9</v>
      </c>
      <c r="L118" s="215">
        <v>11</v>
      </c>
      <c r="M118" s="216">
        <v>10.9</v>
      </c>
      <c r="N118" s="215"/>
      <c r="O118" s="215">
        <v>12.5</v>
      </c>
      <c r="P118" s="223">
        <f t="shared" si="1"/>
        <v>125.7603305785124</v>
      </c>
      <c r="Q118" s="224">
        <v>2012.16</v>
      </c>
    </row>
    <row r="119" spans="2:17" ht="15.75">
      <c r="B119" s="57" t="s">
        <v>206</v>
      </c>
      <c r="C119" s="199" t="s">
        <v>207</v>
      </c>
      <c r="D119" s="199" t="s">
        <v>16</v>
      </c>
      <c r="E119" s="200">
        <v>0</v>
      </c>
      <c r="F119" s="201">
        <v>111.24700000000001</v>
      </c>
      <c r="G119" s="201">
        <v>0</v>
      </c>
      <c r="H119" s="200"/>
      <c r="I119" s="200"/>
      <c r="J119" s="215">
        <v>26</v>
      </c>
      <c r="K119" s="215">
        <v>7.9</v>
      </c>
      <c r="L119" s="215">
        <v>12</v>
      </c>
      <c r="M119" s="216">
        <v>11.8</v>
      </c>
      <c r="N119" s="215"/>
      <c r="O119" s="215">
        <v>18</v>
      </c>
      <c r="P119" s="223">
        <f t="shared" si="1"/>
        <v>183.87933884297524</v>
      </c>
      <c r="Q119" s="219">
        <f>367.759*4*2</f>
        <v>2942.0720000000001</v>
      </c>
    </row>
    <row r="120" spans="2:17" ht="15.75">
      <c r="B120" s="57" t="s">
        <v>208</v>
      </c>
      <c r="C120" s="199" t="s">
        <v>209</v>
      </c>
      <c r="D120" s="199" t="s">
        <v>16</v>
      </c>
      <c r="E120" s="200">
        <v>0</v>
      </c>
      <c r="F120" s="201">
        <v>111.24700000000001</v>
      </c>
      <c r="G120" s="201">
        <v>0</v>
      </c>
      <c r="H120" s="200"/>
      <c r="I120" s="200"/>
      <c r="J120" s="215">
        <v>26</v>
      </c>
      <c r="K120" s="215">
        <v>7.9</v>
      </c>
      <c r="L120" s="215">
        <v>12</v>
      </c>
      <c r="M120" s="216">
        <v>12.3</v>
      </c>
      <c r="N120" s="215"/>
      <c r="O120" s="215">
        <v>18</v>
      </c>
      <c r="P120" s="223">
        <f t="shared" si="1"/>
        <v>183.87933884297524</v>
      </c>
      <c r="Q120" s="219">
        <f>367.759*4*2</f>
        <v>2942.0720000000001</v>
      </c>
    </row>
    <row r="121" spans="2:17" ht="15.75">
      <c r="B121" s="57" t="s">
        <v>210</v>
      </c>
      <c r="C121" s="199" t="s">
        <v>211</v>
      </c>
      <c r="D121" s="199" t="s">
        <v>16</v>
      </c>
      <c r="E121" s="200">
        <v>0</v>
      </c>
      <c r="F121" s="201">
        <v>111.24700000000001</v>
      </c>
      <c r="G121" s="201">
        <v>0</v>
      </c>
      <c r="H121" s="200"/>
      <c r="I121" s="200"/>
      <c r="J121" s="215">
        <v>26</v>
      </c>
      <c r="K121" s="215">
        <v>7.9</v>
      </c>
      <c r="L121" s="215">
        <v>12</v>
      </c>
      <c r="M121" s="216">
        <v>12.5</v>
      </c>
      <c r="N121" s="215"/>
      <c r="O121" s="215">
        <v>18</v>
      </c>
      <c r="P121" s="223">
        <f t="shared" si="1"/>
        <v>183.87933884297524</v>
      </c>
      <c r="Q121" s="219">
        <f>367.759*4*2</f>
        <v>2942.0720000000001</v>
      </c>
    </row>
    <row r="122" spans="2:17" ht="15.75">
      <c r="B122" s="57" t="s">
        <v>212</v>
      </c>
      <c r="C122" s="199" t="s">
        <v>213</v>
      </c>
      <c r="D122" s="199" t="s">
        <v>16</v>
      </c>
      <c r="E122" s="200">
        <v>0</v>
      </c>
      <c r="F122" s="201">
        <v>111.24700000000001</v>
      </c>
      <c r="G122" s="201">
        <v>0</v>
      </c>
      <c r="H122" s="200"/>
      <c r="I122" s="200"/>
      <c r="J122" s="215">
        <v>26</v>
      </c>
      <c r="K122" s="215">
        <v>7.9</v>
      </c>
      <c r="L122" s="215">
        <v>12</v>
      </c>
      <c r="M122" s="216">
        <v>11.5</v>
      </c>
      <c r="N122" s="215"/>
      <c r="O122" s="215">
        <v>18</v>
      </c>
      <c r="P122" s="223">
        <f t="shared" si="1"/>
        <v>183.87933884297524</v>
      </c>
      <c r="Q122" s="219">
        <f>367.759*4*2</f>
        <v>2942.0720000000001</v>
      </c>
    </row>
    <row r="123" spans="2:17" ht="15.75">
      <c r="B123" s="57" t="s">
        <v>214</v>
      </c>
      <c r="C123" s="199" t="s">
        <v>215</v>
      </c>
      <c r="D123" s="199" t="s">
        <v>16</v>
      </c>
      <c r="E123" s="200">
        <v>0</v>
      </c>
      <c r="F123" s="201">
        <v>143.69999999999999</v>
      </c>
      <c r="G123" s="201">
        <v>0</v>
      </c>
      <c r="H123" s="200"/>
      <c r="I123" s="200"/>
      <c r="J123" s="215">
        <v>27</v>
      </c>
      <c r="K123" s="215">
        <v>9.9</v>
      </c>
      <c r="L123" s="215">
        <v>14</v>
      </c>
      <c r="M123" s="216">
        <v>12.5</v>
      </c>
      <c r="N123" s="215"/>
      <c r="O123" s="215">
        <v>20</v>
      </c>
      <c r="P123" s="223">
        <f t="shared" si="1"/>
        <v>237.52066115702479</v>
      </c>
      <c r="Q123" s="219">
        <f>475.041*4*2</f>
        <v>3800.328</v>
      </c>
    </row>
    <row r="124" spans="2:17" ht="15.75">
      <c r="B124" s="57" t="s">
        <v>216</v>
      </c>
      <c r="C124" s="199" t="s">
        <v>217</v>
      </c>
      <c r="D124" s="199" t="s">
        <v>16</v>
      </c>
      <c r="E124" s="200">
        <v>0</v>
      </c>
      <c r="F124" s="201">
        <v>161.26900000000001</v>
      </c>
      <c r="G124" s="201">
        <v>0</v>
      </c>
      <c r="H124" s="200"/>
      <c r="I124" s="200"/>
      <c r="J124" s="215">
        <v>27</v>
      </c>
      <c r="K124" s="225" t="s">
        <v>218</v>
      </c>
      <c r="L124" s="215">
        <v>14</v>
      </c>
      <c r="M124" s="216">
        <v>12.5</v>
      </c>
      <c r="N124" s="215"/>
      <c r="O124" s="215">
        <v>26</v>
      </c>
      <c r="P124" s="223">
        <f t="shared" si="1"/>
        <v>266.56033057851243</v>
      </c>
      <c r="Q124" s="219">
        <f>533.121*4*2</f>
        <v>4264.9679999999998</v>
      </c>
    </row>
    <row r="125" spans="2:17" ht="15.75">
      <c r="B125" s="57" t="s">
        <v>219</v>
      </c>
      <c r="C125" s="199" t="s">
        <v>220</v>
      </c>
      <c r="D125" s="199" t="s">
        <v>16</v>
      </c>
      <c r="E125" s="200">
        <v>0</v>
      </c>
      <c r="F125" s="201">
        <v>143.69999999999999</v>
      </c>
      <c r="G125" s="201">
        <v>0</v>
      </c>
      <c r="H125" s="200"/>
      <c r="I125" s="200"/>
      <c r="J125" s="215">
        <v>27</v>
      </c>
      <c r="K125" s="215">
        <v>9.9</v>
      </c>
      <c r="L125" s="215">
        <v>14</v>
      </c>
      <c r="M125" s="216">
        <v>12.7</v>
      </c>
      <c r="N125" s="215"/>
      <c r="O125" s="215">
        <v>20</v>
      </c>
      <c r="P125" s="223">
        <f t="shared" si="1"/>
        <v>237.52066115702479</v>
      </c>
      <c r="Q125" s="219">
        <f>475.041*4*2</f>
        <v>3800.328</v>
      </c>
    </row>
    <row r="126" spans="2:17" ht="15.75">
      <c r="B126" s="57" t="s">
        <v>221</v>
      </c>
      <c r="C126" s="199" t="s">
        <v>222</v>
      </c>
      <c r="D126" s="199" t="s">
        <v>16</v>
      </c>
      <c r="E126" s="200">
        <v>0</v>
      </c>
      <c r="F126" s="201">
        <v>161.26900000000001</v>
      </c>
      <c r="G126" s="201">
        <v>0</v>
      </c>
      <c r="H126" s="200"/>
      <c r="I126" s="200"/>
      <c r="J126" s="215">
        <v>27</v>
      </c>
      <c r="K126" s="225" t="s">
        <v>218</v>
      </c>
      <c r="L126" s="215">
        <v>14</v>
      </c>
      <c r="M126" s="216">
        <v>12.7</v>
      </c>
      <c r="N126" s="215"/>
      <c r="O126" s="215">
        <v>26</v>
      </c>
      <c r="P126" s="223">
        <f t="shared" si="1"/>
        <v>266.56033057851243</v>
      </c>
      <c r="Q126" s="219">
        <f>533.121*4*2</f>
        <v>4264.9679999999998</v>
      </c>
    </row>
    <row r="127" spans="2:17" ht="15.75">
      <c r="B127" s="57" t="s">
        <v>223</v>
      </c>
      <c r="C127" s="199" t="s">
        <v>224</v>
      </c>
      <c r="D127" s="199" t="s">
        <v>16</v>
      </c>
      <c r="E127" s="200">
        <v>0</v>
      </c>
      <c r="F127" s="201">
        <v>143.69999999999999</v>
      </c>
      <c r="G127" s="201">
        <v>0</v>
      </c>
      <c r="H127" s="200"/>
      <c r="I127" s="200"/>
      <c r="J127" s="215">
        <v>27</v>
      </c>
      <c r="K127" s="215">
        <v>9.9</v>
      </c>
      <c r="L127" s="215">
        <v>14</v>
      </c>
      <c r="M127" s="216">
        <v>13.2</v>
      </c>
      <c r="N127" s="215"/>
      <c r="O127" s="215">
        <v>20</v>
      </c>
      <c r="P127" s="223">
        <f t="shared" si="1"/>
        <v>237.52066115702479</v>
      </c>
      <c r="Q127" s="219">
        <f>475.041*4*2</f>
        <v>3800.328</v>
      </c>
    </row>
    <row r="128" spans="2:17" ht="15.75">
      <c r="B128" s="57" t="s">
        <v>225</v>
      </c>
      <c r="C128" s="199" t="s">
        <v>226</v>
      </c>
      <c r="D128" s="199" t="s">
        <v>16</v>
      </c>
      <c r="E128" s="200">
        <v>0</v>
      </c>
      <c r="F128" s="201">
        <v>161.26900000000001</v>
      </c>
      <c r="G128" s="201">
        <v>0</v>
      </c>
      <c r="H128" s="200"/>
      <c r="I128" s="200"/>
      <c r="J128" s="215">
        <v>27</v>
      </c>
      <c r="K128" s="225" t="s">
        <v>218</v>
      </c>
      <c r="L128" s="215">
        <v>14</v>
      </c>
      <c r="M128" s="216">
        <v>13.2</v>
      </c>
      <c r="N128" s="215"/>
      <c r="O128" s="215">
        <v>26</v>
      </c>
      <c r="P128" s="223">
        <f t="shared" si="1"/>
        <v>266.56033057851243</v>
      </c>
      <c r="Q128" s="219">
        <f>533.121*4*2</f>
        <v>4264.9679999999998</v>
      </c>
    </row>
    <row r="129" spans="2:17" ht="15.75">
      <c r="B129" s="57" t="s">
        <v>227</v>
      </c>
      <c r="C129" s="199" t="s">
        <v>228</v>
      </c>
      <c r="D129" s="199" t="s">
        <v>16</v>
      </c>
      <c r="E129" s="200">
        <v>0</v>
      </c>
      <c r="F129" s="201">
        <v>143.69999999999999</v>
      </c>
      <c r="G129" s="201">
        <v>0</v>
      </c>
      <c r="H129" s="200"/>
      <c r="I129" s="200"/>
      <c r="J129" s="215">
        <v>27</v>
      </c>
      <c r="K129" s="215">
        <v>9.9</v>
      </c>
      <c r="L129" s="215">
        <v>14</v>
      </c>
      <c r="M129" s="216">
        <v>13.5</v>
      </c>
      <c r="N129" s="215"/>
      <c r="O129" s="215">
        <v>20</v>
      </c>
      <c r="P129" s="223">
        <f t="shared" si="1"/>
        <v>237.52066115702479</v>
      </c>
      <c r="Q129" s="219">
        <f>475.041*4*2</f>
        <v>3800.328</v>
      </c>
    </row>
    <row r="130" spans="2:17" ht="15.75">
      <c r="B130" s="57" t="s">
        <v>229</v>
      </c>
      <c r="C130" s="199" t="s">
        <v>230</v>
      </c>
      <c r="D130" s="199" t="s">
        <v>16</v>
      </c>
      <c r="E130" s="200">
        <v>0</v>
      </c>
      <c r="F130" s="201">
        <v>161.26900000000001</v>
      </c>
      <c r="G130" s="201">
        <v>0</v>
      </c>
      <c r="H130" s="200"/>
      <c r="I130" s="200"/>
      <c r="J130" s="215">
        <v>27</v>
      </c>
      <c r="K130" s="225" t="s">
        <v>218</v>
      </c>
      <c r="L130" s="215">
        <v>14</v>
      </c>
      <c r="M130" s="216">
        <v>13.5</v>
      </c>
      <c r="N130" s="215"/>
      <c r="O130" s="215">
        <v>26</v>
      </c>
      <c r="P130" s="223">
        <f t="shared" si="1"/>
        <v>266.56033057851243</v>
      </c>
      <c r="Q130" s="219">
        <f>533.121*4*2</f>
        <v>4264.9679999999998</v>
      </c>
    </row>
    <row r="131" spans="2:17" ht="15.75">
      <c r="B131" s="57" t="s">
        <v>231</v>
      </c>
      <c r="C131" s="199" t="s">
        <v>232</v>
      </c>
      <c r="D131" s="199" t="s">
        <v>16</v>
      </c>
      <c r="E131" s="200">
        <v>0</v>
      </c>
      <c r="F131" s="201">
        <v>143.69999999999999</v>
      </c>
      <c r="G131" s="201">
        <v>0</v>
      </c>
      <c r="H131" s="200"/>
      <c r="I131" s="200"/>
      <c r="J131" s="215">
        <v>27</v>
      </c>
      <c r="K131" s="215">
        <v>9.9</v>
      </c>
      <c r="L131" s="215">
        <v>14</v>
      </c>
      <c r="M131" s="216">
        <v>14.5</v>
      </c>
      <c r="N131" s="215"/>
      <c r="O131" s="215">
        <v>20</v>
      </c>
      <c r="P131" s="223">
        <f t="shared" si="1"/>
        <v>237.52066115702479</v>
      </c>
      <c r="Q131" s="219">
        <f>475.041*4*2</f>
        <v>3800.328</v>
      </c>
    </row>
    <row r="132" spans="2:17" ht="15.75">
      <c r="B132" s="57" t="s">
        <v>233</v>
      </c>
      <c r="C132" s="199" t="s">
        <v>234</v>
      </c>
      <c r="D132" s="199" t="s">
        <v>16</v>
      </c>
      <c r="E132" s="200">
        <v>0</v>
      </c>
      <c r="F132" s="201">
        <v>161.26900000000001</v>
      </c>
      <c r="G132" s="201">
        <v>0</v>
      </c>
      <c r="H132" s="200"/>
      <c r="I132" s="200"/>
      <c r="J132" s="215">
        <v>27</v>
      </c>
      <c r="K132" s="225" t="s">
        <v>218</v>
      </c>
      <c r="L132" s="215">
        <v>14</v>
      </c>
      <c r="M132" s="216">
        <v>14.5</v>
      </c>
      <c r="N132" s="215"/>
      <c r="O132" s="215">
        <v>26</v>
      </c>
      <c r="P132" s="223">
        <f t="shared" si="1"/>
        <v>266.56033057851243</v>
      </c>
      <c r="Q132" s="219">
        <f>533.121*4*2</f>
        <v>4264.9679999999998</v>
      </c>
    </row>
    <row r="133" spans="2:17" ht="15.75">
      <c r="B133" s="57" t="s">
        <v>235</v>
      </c>
      <c r="C133" s="199" t="s">
        <v>236</v>
      </c>
      <c r="D133" s="199" t="s">
        <v>16</v>
      </c>
      <c r="E133" s="200">
        <v>0</v>
      </c>
      <c r="F133" s="201">
        <v>143.821</v>
      </c>
      <c r="G133" s="201">
        <v>0</v>
      </c>
      <c r="H133" s="200"/>
      <c r="I133" s="200"/>
      <c r="J133" s="215">
        <v>27</v>
      </c>
      <c r="K133" s="215">
        <v>9.9</v>
      </c>
      <c r="L133" s="215">
        <v>14</v>
      </c>
      <c r="M133" s="216">
        <v>15</v>
      </c>
      <c r="N133" s="215"/>
      <c r="O133" s="215">
        <v>18</v>
      </c>
      <c r="P133" s="223">
        <f t="shared" si="1"/>
        <v>237.72066115702481</v>
      </c>
      <c r="Q133" s="219">
        <f>475.041*4*2</f>
        <v>3800.328</v>
      </c>
    </row>
    <row r="134" spans="2:17" ht="15.75">
      <c r="B134" s="57" t="s">
        <v>237</v>
      </c>
      <c r="C134" s="199" t="s">
        <v>238</v>
      </c>
      <c r="D134" s="199" t="s">
        <v>16</v>
      </c>
      <c r="E134" s="200">
        <v>0</v>
      </c>
      <c r="F134" s="201">
        <v>161.26900000000001</v>
      </c>
      <c r="G134" s="201">
        <v>0</v>
      </c>
      <c r="H134" s="200"/>
      <c r="I134" s="200"/>
      <c r="J134" s="215">
        <v>27</v>
      </c>
      <c r="K134" s="225" t="s">
        <v>218</v>
      </c>
      <c r="L134" s="215">
        <v>14</v>
      </c>
      <c r="M134" s="216">
        <v>15</v>
      </c>
      <c r="N134" s="215"/>
      <c r="O134" s="215">
        <v>26</v>
      </c>
      <c r="P134" s="223">
        <f t="shared" si="1"/>
        <v>266.56033057851243</v>
      </c>
      <c r="Q134" s="219">
        <f>533.121*4*2</f>
        <v>4264.9679999999998</v>
      </c>
    </row>
    <row r="135" spans="2:17" ht="15.75">
      <c r="B135" s="57" t="s">
        <v>239</v>
      </c>
      <c r="C135" s="199" t="s">
        <v>240</v>
      </c>
      <c r="D135" s="199"/>
      <c r="E135" s="200"/>
      <c r="F135" s="201"/>
      <c r="G135" s="201"/>
      <c r="H135" s="200"/>
      <c r="I135" s="200"/>
      <c r="J135" s="215">
        <v>18</v>
      </c>
      <c r="K135" s="225">
        <v>5.4</v>
      </c>
      <c r="L135" s="215">
        <v>10</v>
      </c>
      <c r="M135" s="216">
        <v>10</v>
      </c>
      <c r="N135" s="215"/>
      <c r="O135" s="215">
        <v>11.5</v>
      </c>
      <c r="P135" s="223"/>
      <c r="Q135" s="219">
        <v>2252.8000000000002</v>
      </c>
    </row>
    <row r="136" spans="2:17" ht="15.75">
      <c r="B136" s="57" t="s">
        <v>241</v>
      </c>
      <c r="C136" s="199" t="s">
        <v>242</v>
      </c>
      <c r="D136" s="199" t="s">
        <v>16</v>
      </c>
      <c r="E136" s="200">
        <v>0</v>
      </c>
      <c r="F136" s="201">
        <v>92.202000000000012</v>
      </c>
      <c r="G136" s="201">
        <v>0</v>
      </c>
      <c r="H136" s="200"/>
      <c r="I136" s="200"/>
      <c r="J136" s="215">
        <v>24</v>
      </c>
      <c r="K136" s="215">
        <v>7.9</v>
      </c>
      <c r="L136" s="215">
        <v>11</v>
      </c>
      <c r="M136" s="216">
        <v>11.5</v>
      </c>
      <c r="N136" s="215"/>
      <c r="O136" s="215">
        <v>12.5</v>
      </c>
      <c r="P136" s="223">
        <f t="shared" si="1"/>
        <v>152.40000000000003</v>
      </c>
      <c r="Q136" s="219">
        <v>2438.4</v>
      </c>
    </row>
    <row r="137" spans="2:17" ht="15.75">
      <c r="B137" s="57" t="s">
        <v>243</v>
      </c>
      <c r="C137" s="199" t="s">
        <v>244</v>
      </c>
      <c r="D137" s="199" t="s">
        <v>16</v>
      </c>
      <c r="E137" s="200">
        <v>0</v>
      </c>
      <c r="F137" s="201">
        <v>44.527999999999999</v>
      </c>
      <c r="G137" s="201">
        <v>0</v>
      </c>
      <c r="H137" s="200"/>
      <c r="I137" s="200"/>
      <c r="J137" s="215">
        <v>18</v>
      </c>
      <c r="K137" s="215">
        <v>5.4</v>
      </c>
      <c r="L137" s="215">
        <v>10</v>
      </c>
      <c r="M137" s="216">
        <v>14</v>
      </c>
      <c r="N137" s="215"/>
      <c r="O137" s="215">
        <v>11.5</v>
      </c>
      <c r="P137" s="223">
        <f t="shared" si="1"/>
        <v>73.599999999999994</v>
      </c>
      <c r="Q137" s="219">
        <v>2355.1999999999998</v>
      </c>
    </row>
    <row r="138" spans="2:17" ht="15.75">
      <c r="B138" s="57" t="s">
        <v>245</v>
      </c>
      <c r="C138" s="199" t="s">
        <v>246</v>
      </c>
      <c r="D138" s="199" t="s">
        <v>16</v>
      </c>
      <c r="E138" s="200">
        <v>0</v>
      </c>
      <c r="F138" s="201">
        <v>76.084999999999994</v>
      </c>
      <c r="G138" s="201">
        <v>0</v>
      </c>
      <c r="H138" s="200"/>
      <c r="I138" s="200"/>
      <c r="J138" s="215">
        <v>19</v>
      </c>
      <c r="K138" s="215">
        <v>7.9</v>
      </c>
      <c r="L138" s="215">
        <v>10.5</v>
      </c>
      <c r="M138" s="216">
        <v>9.8000000000000007</v>
      </c>
      <c r="N138" s="215"/>
      <c r="O138" s="215">
        <v>14</v>
      </c>
      <c r="P138" s="223">
        <f t="shared" si="1"/>
        <v>125.7603305785124</v>
      </c>
      <c r="Q138" s="224">
        <v>2012.16</v>
      </c>
    </row>
    <row r="139" spans="2:17" ht="15.75">
      <c r="B139" s="57" t="s">
        <v>247</v>
      </c>
      <c r="C139" s="199" t="s">
        <v>248</v>
      </c>
      <c r="D139" s="199" t="s">
        <v>16</v>
      </c>
      <c r="E139" s="200">
        <v>0</v>
      </c>
      <c r="F139" s="201">
        <v>76.084999999999994</v>
      </c>
      <c r="G139" s="201">
        <v>0</v>
      </c>
      <c r="H139" s="200"/>
      <c r="I139" s="200"/>
      <c r="J139" s="215">
        <v>22</v>
      </c>
      <c r="K139" s="215">
        <v>7.9</v>
      </c>
      <c r="L139" s="215">
        <v>11</v>
      </c>
      <c r="M139" s="216">
        <v>10</v>
      </c>
      <c r="N139" s="215"/>
      <c r="O139" s="215">
        <v>12.5</v>
      </c>
      <c r="P139" s="223">
        <f t="shared" si="1"/>
        <v>125.7603305785124</v>
      </c>
      <c r="Q139" s="224">
        <v>2012.16</v>
      </c>
    </row>
    <row r="140" spans="2:17" ht="15.75">
      <c r="B140" s="57" t="s">
        <v>249</v>
      </c>
      <c r="C140" s="199" t="s">
        <v>250</v>
      </c>
      <c r="D140" s="199" t="s">
        <v>16</v>
      </c>
      <c r="E140" s="200">
        <v>0</v>
      </c>
      <c r="F140" s="201">
        <v>164.56</v>
      </c>
      <c r="G140" s="201">
        <v>0</v>
      </c>
      <c r="H140" s="200"/>
      <c r="I140" s="200"/>
      <c r="J140" s="215">
        <v>24</v>
      </c>
      <c r="K140" s="215">
        <v>7.9</v>
      </c>
      <c r="L140" s="215">
        <v>14</v>
      </c>
      <c r="M140" s="216">
        <v>11.5</v>
      </c>
      <c r="N140" s="215"/>
      <c r="O140" s="215">
        <v>16</v>
      </c>
      <c r="P140" s="223">
        <f t="shared" ref="P140:P192" si="2">+(F140/1.21)*2</f>
        <v>272</v>
      </c>
      <c r="Q140" s="219">
        <v>4352</v>
      </c>
    </row>
    <row r="141" spans="2:17" ht="15.75">
      <c r="B141" s="57" t="s">
        <v>251</v>
      </c>
      <c r="C141" s="199" t="s">
        <v>252</v>
      </c>
      <c r="D141" s="199" t="s">
        <v>16</v>
      </c>
      <c r="E141" s="200">
        <v>0</v>
      </c>
      <c r="F141" s="201">
        <v>111.24700000000001</v>
      </c>
      <c r="G141" s="201">
        <v>0</v>
      </c>
      <c r="H141" s="200"/>
      <c r="I141" s="200"/>
      <c r="J141" s="215">
        <v>26</v>
      </c>
      <c r="K141" s="215">
        <v>7.9</v>
      </c>
      <c r="L141" s="215">
        <v>12</v>
      </c>
      <c r="M141" s="216">
        <v>12</v>
      </c>
      <c r="N141" s="215"/>
      <c r="O141" s="215">
        <v>18</v>
      </c>
      <c r="P141" s="223">
        <f t="shared" si="2"/>
        <v>183.87933884297524</v>
      </c>
      <c r="Q141" s="219">
        <f>367.759*4*2</f>
        <v>2942.0720000000001</v>
      </c>
    </row>
    <row r="142" spans="2:17" ht="15.75">
      <c r="B142" s="57" t="s">
        <v>253</v>
      </c>
      <c r="C142" s="199" t="s">
        <v>254</v>
      </c>
      <c r="D142" s="199" t="s">
        <v>16</v>
      </c>
      <c r="E142" s="200">
        <v>0</v>
      </c>
      <c r="F142" s="201">
        <v>76.084999999999994</v>
      </c>
      <c r="G142" s="201">
        <v>0</v>
      </c>
      <c r="H142" s="200"/>
      <c r="I142" s="200"/>
      <c r="J142" s="215">
        <v>21</v>
      </c>
      <c r="K142" s="215">
        <v>7.9</v>
      </c>
      <c r="L142" s="215">
        <v>10.3</v>
      </c>
      <c r="M142" s="216">
        <v>10</v>
      </c>
      <c r="N142" s="215"/>
      <c r="O142" s="215">
        <v>10.5</v>
      </c>
      <c r="P142" s="223">
        <f t="shared" si="2"/>
        <v>125.7603305785124</v>
      </c>
      <c r="Q142" s="224">
        <v>2012.16</v>
      </c>
    </row>
    <row r="143" spans="2:17" ht="15.75">
      <c r="B143" s="57" t="s">
        <v>255</v>
      </c>
      <c r="C143" s="199" t="s">
        <v>256</v>
      </c>
      <c r="D143" s="199" t="s">
        <v>16</v>
      </c>
      <c r="E143" s="200">
        <v>0</v>
      </c>
      <c r="F143" s="201">
        <v>92.202000000000012</v>
      </c>
      <c r="G143" s="201">
        <v>0</v>
      </c>
      <c r="H143" s="200"/>
      <c r="I143" s="200"/>
      <c r="J143" s="215">
        <v>24</v>
      </c>
      <c r="K143" s="215">
        <v>7.9</v>
      </c>
      <c r="L143" s="215">
        <v>11</v>
      </c>
      <c r="M143" s="216">
        <v>11</v>
      </c>
      <c r="N143" s="215"/>
      <c r="O143" s="215">
        <v>12.5</v>
      </c>
      <c r="P143" s="223">
        <f t="shared" si="2"/>
        <v>152.40000000000003</v>
      </c>
      <c r="Q143" s="219">
        <v>2438.4</v>
      </c>
    </row>
    <row r="144" spans="2:17" ht="15.75">
      <c r="B144" s="57" t="s">
        <v>257</v>
      </c>
      <c r="C144" s="199" t="s">
        <v>258</v>
      </c>
      <c r="D144" s="199" t="s">
        <v>16</v>
      </c>
      <c r="E144" s="200">
        <v>0</v>
      </c>
      <c r="F144" s="201">
        <v>92.202000000000012</v>
      </c>
      <c r="G144" s="201">
        <v>0</v>
      </c>
      <c r="H144" s="200"/>
      <c r="I144" s="200"/>
      <c r="J144" s="215">
        <v>24</v>
      </c>
      <c r="K144" s="215">
        <v>7.9</v>
      </c>
      <c r="L144" s="215">
        <v>11</v>
      </c>
      <c r="M144" s="216">
        <v>9.8000000000000007</v>
      </c>
      <c r="N144" s="215"/>
      <c r="O144" s="215">
        <v>14</v>
      </c>
      <c r="P144" s="223">
        <f t="shared" si="2"/>
        <v>152.40000000000003</v>
      </c>
      <c r="Q144" s="219">
        <v>2438.4</v>
      </c>
    </row>
    <row r="145" spans="2:17" ht="15.75">
      <c r="B145" s="57" t="s">
        <v>259</v>
      </c>
      <c r="C145" s="199" t="s">
        <v>260</v>
      </c>
      <c r="D145" s="199" t="s">
        <v>16</v>
      </c>
      <c r="E145" s="200">
        <v>0</v>
      </c>
      <c r="F145" s="201">
        <v>111.24700000000001</v>
      </c>
      <c r="G145" s="201">
        <v>0</v>
      </c>
      <c r="H145" s="200"/>
      <c r="I145" s="200"/>
      <c r="J145" s="215">
        <v>24</v>
      </c>
      <c r="K145" s="215">
        <v>7.9</v>
      </c>
      <c r="L145" s="215">
        <v>12</v>
      </c>
      <c r="M145" s="216">
        <v>11</v>
      </c>
      <c r="N145" s="215"/>
      <c r="O145" s="215">
        <v>16</v>
      </c>
      <c r="P145" s="223">
        <f t="shared" si="2"/>
        <v>183.87933884297524</v>
      </c>
      <c r="Q145" s="219">
        <f>367.759*4*2</f>
        <v>2942.0720000000001</v>
      </c>
    </row>
    <row r="146" spans="2:17" ht="15.75">
      <c r="B146" s="57" t="s">
        <v>261</v>
      </c>
      <c r="C146" s="199" t="s">
        <v>262</v>
      </c>
      <c r="D146" s="199" t="s">
        <v>16</v>
      </c>
      <c r="E146" s="200">
        <v>0</v>
      </c>
      <c r="F146" s="201">
        <v>111.24700000000001</v>
      </c>
      <c r="G146" s="201">
        <v>0</v>
      </c>
      <c r="H146" s="200"/>
      <c r="I146" s="200"/>
      <c r="J146" s="215">
        <v>26</v>
      </c>
      <c r="K146" s="215">
        <v>7.9</v>
      </c>
      <c r="L146" s="215">
        <v>12</v>
      </c>
      <c r="M146" s="216">
        <v>11.3</v>
      </c>
      <c r="N146" s="215"/>
      <c r="O146" s="215">
        <v>18</v>
      </c>
      <c r="P146" s="223">
        <f t="shared" si="2"/>
        <v>183.87933884297524</v>
      </c>
      <c r="Q146" s="219">
        <f>367.759*4*2</f>
        <v>2942.0720000000001</v>
      </c>
    </row>
    <row r="147" spans="2:17" ht="15.75">
      <c r="B147" s="57" t="s">
        <v>263</v>
      </c>
      <c r="C147" s="199" t="s">
        <v>264</v>
      </c>
      <c r="D147" s="199" t="s">
        <v>16</v>
      </c>
      <c r="E147" s="200">
        <v>0</v>
      </c>
      <c r="F147" s="201">
        <v>76.084999999999994</v>
      </c>
      <c r="G147" s="201">
        <v>0</v>
      </c>
      <c r="H147" s="200"/>
      <c r="I147" s="200"/>
      <c r="J147" s="215">
        <v>22</v>
      </c>
      <c r="K147" s="215">
        <v>7.9</v>
      </c>
      <c r="L147" s="215">
        <v>11</v>
      </c>
      <c r="M147" s="216">
        <v>9.5</v>
      </c>
      <c r="N147" s="215"/>
      <c r="O147" s="215">
        <v>12.5</v>
      </c>
      <c r="P147" s="223">
        <f t="shared" si="2"/>
        <v>125.7603305785124</v>
      </c>
      <c r="Q147" s="224">
        <v>2012.16</v>
      </c>
    </row>
    <row r="148" spans="2:17" ht="15.75">
      <c r="B148" s="57" t="s">
        <v>265</v>
      </c>
      <c r="C148" s="199" t="s">
        <v>266</v>
      </c>
      <c r="D148" s="199" t="s">
        <v>16</v>
      </c>
      <c r="E148" s="200">
        <v>0</v>
      </c>
      <c r="F148" s="201">
        <v>161.26900000000001</v>
      </c>
      <c r="G148" s="201">
        <v>0</v>
      </c>
      <c r="H148" s="200"/>
      <c r="I148" s="200"/>
      <c r="J148" s="215">
        <v>27</v>
      </c>
      <c r="K148" s="225" t="s">
        <v>218</v>
      </c>
      <c r="L148" s="215">
        <v>14</v>
      </c>
      <c r="M148" s="216">
        <v>13</v>
      </c>
      <c r="N148" s="215"/>
      <c r="O148" s="215">
        <v>26</v>
      </c>
      <c r="P148" s="223">
        <f t="shared" si="2"/>
        <v>266.56033057851243</v>
      </c>
      <c r="Q148" s="219">
        <f>533.121*4*2</f>
        <v>4264.9679999999998</v>
      </c>
    </row>
    <row r="149" spans="2:17" ht="15.75">
      <c r="B149" s="57" t="s">
        <v>267</v>
      </c>
      <c r="C149" s="199" t="s">
        <v>268</v>
      </c>
      <c r="D149" s="199" t="s">
        <v>16</v>
      </c>
      <c r="E149" s="200">
        <v>0</v>
      </c>
      <c r="F149" s="201">
        <v>42.591999999999999</v>
      </c>
      <c r="G149" s="201">
        <v>0</v>
      </c>
      <c r="H149" s="200"/>
      <c r="I149" s="200"/>
      <c r="J149" s="215">
        <v>18</v>
      </c>
      <c r="K149" s="215">
        <v>5.4</v>
      </c>
      <c r="L149" s="215">
        <v>10</v>
      </c>
      <c r="M149" s="216">
        <v>9.5</v>
      </c>
      <c r="N149" s="215"/>
      <c r="O149" s="215">
        <v>11.5</v>
      </c>
      <c r="P149" s="223">
        <f t="shared" si="2"/>
        <v>70.400000000000006</v>
      </c>
      <c r="Q149" s="219">
        <v>2380.8000000000002</v>
      </c>
    </row>
    <row r="150" spans="2:17" ht="15.75">
      <c r="B150" s="57" t="s">
        <v>269</v>
      </c>
      <c r="C150" s="199" t="s">
        <v>270</v>
      </c>
      <c r="D150" s="199" t="s">
        <v>16</v>
      </c>
      <c r="E150" s="200">
        <v>0</v>
      </c>
      <c r="F150" s="201">
        <v>111.24700000000001</v>
      </c>
      <c r="G150" s="201">
        <v>0</v>
      </c>
      <c r="H150" s="200"/>
      <c r="I150" s="200"/>
      <c r="J150" s="215">
        <v>26</v>
      </c>
      <c r="K150" s="215">
        <v>8.4</v>
      </c>
      <c r="L150" s="215">
        <v>12</v>
      </c>
      <c r="M150" s="216">
        <v>11.5</v>
      </c>
      <c r="N150" s="215"/>
      <c r="O150" s="215">
        <v>18</v>
      </c>
      <c r="P150" s="223">
        <f t="shared" si="2"/>
        <v>183.87933884297524</v>
      </c>
      <c r="Q150" s="219">
        <f>367.759*4*2</f>
        <v>2942.0720000000001</v>
      </c>
    </row>
    <row r="151" spans="2:17" ht="15.75">
      <c r="B151" s="57" t="s">
        <v>271</v>
      </c>
      <c r="C151" s="199" t="s">
        <v>272</v>
      </c>
      <c r="D151" s="199" t="s">
        <v>16</v>
      </c>
      <c r="E151" s="200">
        <v>0</v>
      </c>
      <c r="F151" s="201">
        <v>111.24700000000001</v>
      </c>
      <c r="G151" s="201">
        <v>0</v>
      </c>
      <c r="H151" s="200"/>
      <c r="I151" s="200"/>
      <c r="J151" s="215">
        <v>26</v>
      </c>
      <c r="K151" s="215">
        <v>8.4</v>
      </c>
      <c r="L151" s="215">
        <v>12</v>
      </c>
      <c r="M151" s="216">
        <v>11.8</v>
      </c>
      <c r="N151" s="215"/>
      <c r="O151" s="215">
        <v>18</v>
      </c>
      <c r="P151" s="223">
        <f t="shared" si="2"/>
        <v>183.87933884297524</v>
      </c>
      <c r="Q151" s="219">
        <f>367.759*4*2</f>
        <v>2942.0720000000001</v>
      </c>
    </row>
    <row r="152" spans="2:17" ht="15.75">
      <c r="B152" s="57" t="s">
        <v>273</v>
      </c>
      <c r="C152" s="199" t="s">
        <v>274</v>
      </c>
      <c r="D152" s="199" t="s">
        <v>16</v>
      </c>
      <c r="E152" s="200">
        <v>0</v>
      </c>
      <c r="F152" s="201">
        <v>111.24700000000001</v>
      </c>
      <c r="G152" s="201">
        <v>0</v>
      </c>
      <c r="H152" s="200"/>
      <c r="I152" s="200"/>
      <c r="J152" s="215">
        <v>26</v>
      </c>
      <c r="K152" s="215">
        <v>7.9</v>
      </c>
      <c r="L152" s="215">
        <v>12</v>
      </c>
      <c r="M152" s="216">
        <v>11.8</v>
      </c>
      <c r="N152" s="215"/>
      <c r="O152" s="215">
        <v>14</v>
      </c>
      <c r="P152" s="223">
        <f t="shared" si="2"/>
        <v>183.87933884297524</v>
      </c>
      <c r="Q152" s="219">
        <f>367.759*4*2</f>
        <v>2942.0720000000001</v>
      </c>
    </row>
    <row r="153" spans="2:17" ht="15.75">
      <c r="B153" s="57" t="s">
        <v>275</v>
      </c>
      <c r="C153" s="199" t="s">
        <v>276</v>
      </c>
      <c r="D153" s="199" t="s">
        <v>16</v>
      </c>
      <c r="E153" s="200">
        <v>0</v>
      </c>
      <c r="F153" s="201">
        <v>92.202000000000012</v>
      </c>
      <c r="G153" s="201">
        <v>0</v>
      </c>
      <c r="H153" s="200"/>
      <c r="I153" s="200"/>
      <c r="J153" s="215">
        <v>24</v>
      </c>
      <c r="K153" s="215">
        <v>7.9</v>
      </c>
      <c r="L153" s="215">
        <v>11</v>
      </c>
      <c r="M153" s="216">
        <v>11.3</v>
      </c>
      <c r="N153" s="215"/>
      <c r="O153" s="215">
        <v>12.5</v>
      </c>
      <c r="P153" s="223">
        <f t="shared" si="2"/>
        <v>152.40000000000003</v>
      </c>
      <c r="Q153" s="219">
        <v>2438.4</v>
      </c>
    </row>
    <row r="154" spans="2:17" ht="15.75">
      <c r="B154" s="57" t="s">
        <v>277</v>
      </c>
      <c r="C154" s="199" t="s">
        <v>278</v>
      </c>
      <c r="D154" s="199" t="s">
        <v>16</v>
      </c>
      <c r="E154" s="200">
        <v>0</v>
      </c>
      <c r="F154" s="201">
        <v>111.24700000000001</v>
      </c>
      <c r="G154" s="201">
        <v>0</v>
      </c>
      <c r="H154" s="200"/>
      <c r="I154" s="200"/>
      <c r="J154" s="215">
        <v>26</v>
      </c>
      <c r="K154" s="215">
        <v>8.4</v>
      </c>
      <c r="L154" s="215">
        <v>12</v>
      </c>
      <c r="M154" s="216">
        <v>12.1</v>
      </c>
      <c r="N154" s="215"/>
      <c r="O154" s="215">
        <v>18</v>
      </c>
      <c r="P154" s="223">
        <f t="shared" si="2"/>
        <v>183.87933884297524</v>
      </c>
      <c r="Q154" s="219">
        <f>367.759*4*2</f>
        <v>2942.0720000000001</v>
      </c>
    </row>
    <row r="155" spans="2:17" ht="15.75">
      <c r="B155" s="57" t="s">
        <v>279</v>
      </c>
      <c r="C155" s="199" t="s">
        <v>280</v>
      </c>
      <c r="D155" s="199" t="s">
        <v>16</v>
      </c>
      <c r="E155" s="200">
        <v>0</v>
      </c>
      <c r="F155" s="201">
        <v>111.24700000000001</v>
      </c>
      <c r="G155" s="201">
        <v>0</v>
      </c>
      <c r="H155" s="200"/>
      <c r="I155" s="200"/>
      <c r="J155" s="215">
        <v>26</v>
      </c>
      <c r="K155" s="215">
        <v>8.4</v>
      </c>
      <c r="L155" s="215">
        <v>12</v>
      </c>
      <c r="M155" s="216">
        <v>12.3</v>
      </c>
      <c r="N155" s="215"/>
      <c r="O155" s="215">
        <v>18</v>
      </c>
      <c r="P155" s="223">
        <f t="shared" si="2"/>
        <v>183.87933884297524</v>
      </c>
      <c r="Q155" s="219">
        <f>367.759*4*2</f>
        <v>2942.0720000000001</v>
      </c>
    </row>
    <row r="156" spans="2:17" ht="15.75">
      <c r="B156" s="57" t="s">
        <v>281</v>
      </c>
      <c r="C156" s="199" t="s">
        <v>282</v>
      </c>
      <c r="D156" s="199" t="s">
        <v>16</v>
      </c>
      <c r="E156" s="200">
        <v>0</v>
      </c>
      <c r="F156" s="201">
        <v>111.24700000000001</v>
      </c>
      <c r="G156" s="201">
        <v>0</v>
      </c>
      <c r="H156" s="200"/>
      <c r="I156" s="200"/>
      <c r="J156" s="215">
        <v>26</v>
      </c>
      <c r="K156" s="215">
        <v>8.4</v>
      </c>
      <c r="L156" s="215">
        <v>12</v>
      </c>
      <c r="M156" s="216">
        <v>12.5</v>
      </c>
      <c r="N156" s="215"/>
      <c r="O156" s="215">
        <v>18</v>
      </c>
      <c r="P156" s="223">
        <f t="shared" si="2"/>
        <v>183.87933884297524</v>
      </c>
      <c r="Q156" s="219">
        <f>367.759*4*2</f>
        <v>2942.0720000000001</v>
      </c>
    </row>
    <row r="157" spans="2:17" ht="15.75">
      <c r="B157" s="57" t="s">
        <v>283</v>
      </c>
      <c r="C157" s="199" t="s">
        <v>284</v>
      </c>
      <c r="D157" s="199" t="s">
        <v>16</v>
      </c>
      <c r="E157" s="200">
        <v>0</v>
      </c>
      <c r="F157" s="201">
        <v>112.288</v>
      </c>
      <c r="G157" s="201">
        <v>0</v>
      </c>
      <c r="H157" s="200"/>
      <c r="I157" s="200"/>
      <c r="J157" s="215">
        <v>17.5</v>
      </c>
      <c r="K157" s="215">
        <v>8.3000000000000007</v>
      </c>
      <c r="L157" s="215">
        <v>11.8</v>
      </c>
      <c r="M157" s="216">
        <v>19.5</v>
      </c>
      <c r="N157" s="215"/>
      <c r="O157" s="215">
        <v>11.5</v>
      </c>
      <c r="P157" s="223">
        <f t="shared" si="2"/>
        <v>185.6</v>
      </c>
      <c r="Q157" s="219">
        <f>371.2*4*2</f>
        <v>2969.6</v>
      </c>
    </row>
    <row r="158" spans="2:17" ht="15.75">
      <c r="B158" s="57" t="s">
        <v>285</v>
      </c>
      <c r="C158" s="199" t="s">
        <v>286</v>
      </c>
      <c r="D158" s="199" t="s">
        <v>16</v>
      </c>
      <c r="E158" s="200">
        <v>0</v>
      </c>
      <c r="F158" s="201">
        <v>112.288</v>
      </c>
      <c r="G158" s="201">
        <v>0</v>
      </c>
      <c r="H158" s="200"/>
      <c r="I158" s="200"/>
      <c r="J158" s="215">
        <v>17.5</v>
      </c>
      <c r="K158" s="215">
        <v>8.3000000000000007</v>
      </c>
      <c r="L158" s="215">
        <v>11.8</v>
      </c>
      <c r="M158" s="216">
        <v>18.5</v>
      </c>
      <c r="N158" s="215"/>
      <c r="O158" s="215">
        <v>11.5</v>
      </c>
      <c r="P158" s="223">
        <f t="shared" si="2"/>
        <v>185.6</v>
      </c>
      <c r="Q158" s="219">
        <f>371.2*4*2</f>
        <v>2969.6</v>
      </c>
    </row>
    <row r="159" spans="2:17" ht="15.75">
      <c r="B159" s="57" t="s">
        <v>287</v>
      </c>
      <c r="C159" s="199" t="s">
        <v>288</v>
      </c>
      <c r="D159" s="199" t="s">
        <v>16</v>
      </c>
      <c r="E159" s="200">
        <v>0</v>
      </c>
      <c r="F159" s="201">
        <v>112.288</v>
      </c>
      <c r="G159" s="201">
        <v>0</v>
      </c>
      <c r="H159" s="200"/>
      <c r="I159" s="200"/>
      <c r="J159" s="215">
        <v>17.5</v>
      </c>
      <c r="K159" s="215">
        <v>8.3000000000000007</v>
      </c>
      <c r="L159" s="215">
        <v>11.8</v>
      </c>
      <c r="M159" s="216">
        <v>18</v>
      </c>
      <c r="N159" s="215"/>
      <c r="O159" s="215">
        <v>11.5</v>
      </c>
      <c r="P159" s="223">
        <f t="shared" si="2"/>
        <v>185.6</v>
      </c>
      <c r="Q159" s="219" t="s">
        <v>289</v>
      </c>
    </row>
    <row r="160" spans="2:17" ht="15.75">
      <c r="B160" s="57" t="s">
        <v>290</v>
      </c>
      <c r="C160" s="199" t="s">
        <v>291</v>
      </c>
      <c r="D160" s="199" t="s">
        <v>16</v>
      </c>
      <c r="E160" s="200">
        <v>0</v>
      </c>
      <c r="F160" s="201">
        <v>112.288</v>
      </c>
      <c r="G160" s="201">
        <v>0</v>
      </c>
      <c r="H160" s="200"/>
      <c r="I160" s="200"/>
      <c r="J160" s="215">
        <v>17.5</v>
      </c>
      <c r="K160" s="215">
        <v>8.3000000000000007</v>
      </c>
      <c r="L160" s="215">
        <v>11.8</v>
      </c>
      <c r="M160" s="216">
        <v>19</v>
      </c>
      <c r="N160" s="215"/>
      <c r="O160" s="215">
        <v>11.5</v>
      </c>
      <c r="P160" s="223">
        <f t="shared" si="2"/>
        <v>185.6</v>
      </c>
      <c r="Q160" s="219" t="s">
        <v>289</v>
      </c>
    </row>
    <row r="161" spans="2:17" ht="15.75">
      <c r="B161" s="57" t="s">
        <v>292</v>
      </c>
      <c r="C161" s="199" t="s">
        <v>293</v>
      </c>
      <c r="D161" s="199" t="s">
        <v>16</v>
      </c>
      <c r="E161" s="200">
        <v>0</v>
      </c>
      <c r="F161" s="201">
        <v>112.288</v>
      </c>
      <c r="G161" s="201">
        <v>0</v>
      </c>
      <c r="H161" s="200"/>
      <c r="I161" s="200"/>
      <c r="J161" s="215">
        <v>17.5</v>
      </c>
      <c r="K161" s="215">
        <v>8.3000000000000007</v>
      </c>
      <c r="L161" s="215">
        <v>11.8</v>
      </c>
      <c r="M161" s="216">
        <v>16.5</v>
      </c>
      <c r="N161" s="215"/>
      <c r="O161" s="215">
        <v>11.5</v>
      </c>
      <c r="P161" s="223">
        <f t="shared" si="2"/>
        <v>185.6</v>
      </c>
      <c r="Q161" s="219" t="s">
        <v>289</v>
      </c>
    </row>
    <row r="162" spans="2:17" ht="15.75">
      <c r="B162" s="57" t="s">
        <v>294</v>
      </c>
      <c r="C162" s="199" t="s">
        <v>295</v>
      </c>
      <c r="D162" s="199" t="s">
        <v>16</v>
      </c>
      <c r="E162" s="200">
        <v>0</v>
      </c>
      <c r="F162" s="201">
        <v>111.24700000000001</v>
      </c>
      <c r="G162" s="201">
        <v>0</v>
      </c>
      <c r="H162" s="200"/>
      <c r="I162" s="200"/>
      <c r="J162" s="215">
        <v>26</v>
      </c>
      <c r="K162" s="215">
        <v>7.9</v>
      </c>
      <c r="L162" s="215">
        <v>12</v>
      </c>
      <c r="M162" s="216">
        <v>11.5</v>
      </c>
      <c r="N162" s="215"/>
      <c r="O162" s="215">
        <v>14</v>
      </c>
      <c r="P162" s="223">
        <f t="shared" si="2"/>
        <v>183.87933884297524</v>
      </c>
      <c r="Q162" s="219">
        <f>367.759*4*2</f>
        <v>2942.0720000000001</v>
      </c>
    </row>
    <row r="163" spans="2:17" ht="15.75">
      <c r="B163" s="57" t="s">
        <v>296</v>
      </c>
      <c r="C163" s="199" t="s">
        <v>297</v>
      </c>
      <c r="D163" s="199" t="s">
        <v>16</v>
      </c>
      <c r="E163" s="200">
        <v>0</v>
      </c>
      <c r="F163" s="201">
        <v>111.24700000000001</v>
      </c>
      <c r="G163" s="201">
        <v>0</v>
      </c>
      <c r="H163" s="200"/>
      <c r="I163" s="200"/>
      <c r="J163" s="215">
        <v>26</v>
      </c>
      <c r="K163" s="215">
        <v>7.9</v>
      </c>
      <c r="L163" s="215">
        <v>12</v>
      </c>
      <c r="M163" s="216">
        <v>12.3</v>
      </c>
      <c r="N163" s="215"/>
      <c r="O163" s="215">
        <v>14</v>
      </c>
      <c r="P163" s="223">
        <f t="shared" si="2"/>
        <v>183.87933884297524</v>
      </c>
      <c r="Q163" s="219">
        <f>367.759*4*2</f>
        <v>2942.0720000000001</v>
      </c>
    </row>
    <row r="164" spans="2:17" ht="15.75">
      <c r="B164" s="57" t="s">
        <v>298</v>
      </c>
      <c r="C164" s="199" t="s">
        <v>299</v>
      </c>
      <c r="D164" s="199" t="s">
        <v>16</v>
      </c>
      <c r="E164" s="200">
        <v>0</v>
      </c>
      <c r="F164" s="201">
        <v>111.24700000000001</v>
      </c>
      <c r="G164" s="201">
        <v>0</v>
      </c>
      <c r="H164" s="200"/>
      <c r="I164" s="200"/>
      <c r="J164" s="215">
        <v>26</v>
      </c>
      <c r="K164" s="215">
        <v>8.4</v>
      </c>
      <c r="L164" s="215">
        <v>12</v>
      </c>
      <c r="M164" s="216">
        <v>11.8</v>
      </c>
      <c r="N164" s="215"/>
      <c r="O164" s="215">
        <v>14</v>
      </c>
      <c r="P164" s="223">
        <f t="shared" si="2"/>
        <v>183.87933884297524</v>
      </c>
      <c r="Q164" s="219">
        <f>367.759*4*2</f>
        <v>2942.0720000000001</v>
      </c>
    </row>
    <row r="165" spans="2:17" ht="15.75">
      <c r="B165" s="57" t="s">
        <v>300</v>
      </c>
      <c r="C165" s="199" t="s">
        <v>301</v>
      </c>
      <c r="D165" s="199" t="s">
        <v>16</v>
      </c>
      <c r="E165" s="200">
        <v>0</v>
      </c>
      <c r="F165" s="201">
        <v>143.69999999999999</v>
      </c>
      <c r="G165" s="201">
        <v>0</v>
      </c>
      <c r="H165" s="200"/>
      <c r="I165" s="200"/>
      <c r="J165" s="215">
        <v>27</v>
      </c>
      <c r="K165" s="215">
        <v>9.9</v>
      </c>
      <c r="L165" s="215">
        <v>14</v>
      </c>
      <c r="M165" s="216">
        <v>13</v>
      </c>
      <c r="N165" s="215"/>
      <c r="O165" s="215">
        <v>20</v>
      </c>
      <c r="P165" s="223">
        <f t="shared" si="2"/>
        <v>237.52066115702479</v>
      </c>
      <c r="Q165" s="219">
        <f>475.041*4*2</f>
        <v>3800.328</v>
      </c>
    </row>
    <row r="166" spans="2:17" ht="15.75">
      <c r="B166" s="57" t="s">
        <v>302</v>
      </c>
      <c r="C166" s="199" t="s">
        <v>303</v>
      </c>
      <c r="D166" s="199" t="s">
        <v>16</v>
      </c>
      <c r="E166" s="200">
        <v>0</v>
      </c>
      <c r="F166" s="201">
        <v>111.24700000000001</v>
      </c>
      <c r="G166" s="201">
        <v>0</v>
      </c>
      <c r="H166" s="200"/>
      <c r="I166" s="200"/>
      <c r="J166" s="215">
        <v>26</v>
      </c>
      <c r="K166" s="215">
        <v>8.4</v>
      </c>
      <c r="L166" s="215">
        <v>12</v>
      </c>
      <c r="M166" s="216">
        <v>11.3</v>
      </c>
      <c r="N166" s="215"/>
      <c r="O166" s="215">
        <v>18</v>
      </c>
      <c r="P166" s="223">
        <f t="shared" si="2"/>
        <v>183.87933884297524</v>
      </c>
      <c r="Q166" s="219">
        <f>367.759*4*2</f>
        <v>2942.0720000000001</v>
      </c>
    </row>
    <row r="167" spans="2:17" ht="15.75">
      <c r="B167" s="57" t="s">
        <v>304</v>
      </c>
      <c r="C167" s="199" t="s">
        <v>305</v>
      </c>
      <c r="D167" s="199" t="s">
        <v>16</v>
      </c>
      <c r="E167" s="200">
        <v>0</v>
      </c>
      <c r="F167" s="201">
        <v>164.56</v>
      </c>
      <c r="G167" s="201">
        <v>0</v>
      </c>
      <c r="H167" s="200"/>
      <c r="I167" s="200"/>
      <c r="J167" s="215">
        <v>24</v>
      </c>
      <c r="K167" s="215">
        <v>9.9</v>
      </c>
      <c r="L167" s="215">
        <v>14</v>
      </c>
      <c r="M167" s="216">
        <v>11.8</v>
      </c>
      <c r="N167" s="215"/>
      <c r="O167" s="215">
        <v>16</v>
      </c>
      <c r="P167" s="223">
        <f t="shared" si="2"/>
        <v>272</v>
      </c>
      <c r="Q167" s="219">
        <v>3800</v>
      </c>
    </row>
    <row r="168" spans="2:17" ht="15.75">
      <c r="B168" s="57" t="s">
        <v>306</v>
      </c>
      <c r="C168" s="199" t="s">
        <v>307</v>
      </c>
      <c r="D168" s="199" t="s">
        <v>16</v>
      </c>
      <c r="E168" s="200">
        <v>0</v>
      </c>
      <c r="F168" s="201">
        <v>181.98400000000001</v>
      </c>
      <c r="G168" s="201">
        <v>0</v>
      </c>
      <c r="H168" s="200"/>
      <c r="I168" s="200"/>
      <c r="J168" s="215">
        <v>14</v>
      </c>
      <c r="K168" s="215">
        <v>7.9</v>
      </c>
      <c r="L168" s="215">
        <v>10</v>
      </c>
      <c r="M168" s="216">
        <v>27</v>
      </c>
      <c r="N168" s="215"/>
      <c r="O168" s="215">
        <v>22</v>
      </c>
      <c r="P168" s="223">
        <f t="shared" si="2"/>
        <v>300.8</v>
      </c>
      <c r="Q168" s="219">
        <v>4012.8</v>
      </c>
    </row>
    <row r="169" spans="2:17" ht="15.75">
      <c r="B169" s="57" t="s">
        <v>308</v>
      </c>
      <c r="C169" s="199" t="s">
        <v>309</v>
      </c>
      <c r="D169" s="199" t="s">
        <v>16</v>
      </c>
      <c r="E169" s="200">
        <v>0</v>
      </c>
      <c r="F169" s="201">
        <v>164.56</v>
      </c>
      <c r="G169" s="201">
        <v>0</v>
      </c>
      <c r="H169" s="200"/>
      <c r="I169" s="200"/>
      <c r="J169" s="215">
        <v>24</v>
      </c>
      <c r="K169" s="215">
        <v>9.9</v>
      </c>
      <c r="L169" s="215">
        <v>14</v>
      </c>
      <c r="M169" s="216">
        <v>11</v>
      </c>
      <c r="N169" s="215"/>
      <c r="O169" s="215">
        <v>16</v>
      </c>
      <c r="P169" s="223">
        <f t="shared" si="2"/>
        <v>272</v>
      </c>
      <c r="Q169" s="219">
        <v>3800</v>
      </c>
    </row>
    <row r="170" spans="2:17" ht="15.75">
      <c r="B170" s="57" t="s">
        <v>310</v>
      </c>
      <c r="C170" s="199" t="s">
        <v>311</v>
      </c>
      <c r="D170" s="199" t="s">
        <v>16</v>
      </c>
      <c r="E170" s="200">
        <v>0</v>
      </c>
      <c r="F170" s="201">
        <v>111.24700000000001</v>
      </c>
      <c r="G170" s="201">
        <v>0</v>
      </c>
      <c r="H170" s="200"/>
      <c r="I170" s="200"/>
      <c r="J170" s="215">
        <v>26</v>
      </c>
      <c r="K170" s="215">
        <v>7.9</v>
      </c>
      <c r="L170" s="215">
        <v>12</v>
      </c>
      <c r="M170" s="216">
        <v>11.3</v>
      </c>
      <c r="N170" s="215"/>
      <c r="O170" s="215">
        <v>14</v>
      </c>
      <c r="P170" s="223">
        <f t="shared" si="2"/>
        <v>183.87933884297524</v>
      </c>
      <c r="Q170" s="219">
        <f>367.759*4*2</f>
        <v>2942.0720000000001</v>
      </c>
    </row>
    <row r="171" spans="2:17" ht="15.75">
      <c r="B171" s="57" t="s">
        <v>312</v>
      </c>
      <c r="C171" s="199" t="s">
        <v>313</v>
      </c>
      <c r="D171" s="199" t="s">
        <v>16</v>
      </c>
      <c r="E171" s="200">
        <v>0</v>
      </c>
      <c r="F171" s="201">
        <v>111.24700000000001</v>
      </c>
      <c r="G171" s="201">
        <v>0</v>
      </c>
      <c r="H171" s="200"/>
      <c r="I171" s="200"/>
      <c r="J171" s="215">
        <v>26</v>
      </c>
      <c r="K171" s="215">
        <v>8.4</v>
      </c>
      <c r="L171" s="215">
        <v>12</v>
      </c>
      <c r="M171" s="216">
        <v>11.3</v>
      </c>
      <c r="N171" s="215"/>
      <c r="O171" s="215">
        <v>14</v>
      </c>
      <c r="P171" s="223">
        <f t="shared" si="2"/>
        <v>183.87933884297524</v>
      </c>
      <c r="Q171" s="219">
        <f>367.759*4*2</f>
        <v>2942.0720000000001</v>
      </c>
    </row>
    <row r="172" spans="2:17" ht="15.75">
      <c r="B172" s="57" t="s">
        <v>314</v>
      </c>
      <c r="C172" s="199" t="s">
        <v>315</v>
      </c>
      <c r="D172" s="199" t="s">
        <v>16</v>
      </c>
      <c r="E172" s="200">
        <v>0</v>
      </c>
      <c r="F172" s="201">
        <v>111.24700000000001</v>
      </c>
      <c r="G172" s="201">
        <v>0</v>
      </c>
      <c r="H172" s="200"/>
      <c r="I172" s="200"/>
      <c r="J172" s="215">
        <v>26</v>
      </c>
      <c r="K172" s="215">
        <v>8.4</v>
      </c>
      <c r="L172" s="215">
        <v>12</v>
      </c>
      <c r="M172" s="216">
        <v>11.5</v>
      </c>
      <c r="N172" s="215"/>
      <c r="O172" s="215">
        <v>14</v>
      </c>
      <c r="P172" s="223">
        <f t="shared" si="2"/>
        <v>183.87933884297524</v>
      </c>
      <c r="Q172" s="219">
        <f>367.759*4*2</f>
        <v>2942.0720000000001</v>
      </c>
    </row>
    <row r="173" spans="2:17" ht="15.75">
      <c r="B173" s="57" t="s">
        <v>316</v>
      </c>
      <c r="C173" s="199" t="s">
        <v>317</v>
      </c>
      <c r="D173" s="199" t="s">
        <v>16</v>
      </c>
      <c r="E173" s="200">
        <v>0</v>
      </c>
      <c r="F173" s="201">
        <v>111.24700000000001</v>
      </c>
      <c r="G173" s="201">
        <v>0</v>
      </c>
      <c r="H173" s="200"/>
      <c r="I173" s="200"/>
      <c r="J173" s="215">
        <v>26</v>
      </c>
      <c r="K173" s="215">
        <v>7.9</v>
      </c>
      <c r="L173" s="215">
        <v>12</v>
      </c>
      <c r="M173" s="216">
        <v>12</v>
      </c>
      <c r="N173" s="215"/>
      <c r="O173" s="215">
        <v>14</v>
      </c>
      <c r="P173" s="223">
        <f t="shared" si="2"/>
        <v>183.87933884297524</v>
      </c>
      <c r="Q173" s="219">
        <f>367.759*4*2</f>
        <v>2942.0720000000001</v>
      </c>
    </row>
    <row r="174" spans="2:17" ht="15.75">
      <c r="B174" s="57" t="s">
        <v>318</v>
      </c>
      <c r="C174" s="199" t="s">
        <v>319</v>
      </c>
      <c r="D174" s="199" t="s">
        <v>16</v>
      </c>
      <c r="E174" s="200">
        <v>0</v>
      </c>
      <c r="F174" s="201">
        <v>164.56</v>
      </c>
      <c r="G174" s="201">
        <v>0</v>
      </c>
      <c r="H174" s="200"/>
      <c r="I174" s="200"/>
      <c r="J174" s="215">
        <v>26</v>
      </c>
      <c r="K174" s="215">
        <v>9.9</v>
      </c>
      <c r="L174" s="215">
        <v>12</v>
      </c>
      <c r="M174" s="216">
        <v>11</v>
      </c>
      <c r="N174" s="215"/>
      <c r="O174" s="215">
        <v>16</v>
      </c>
      <c r="P174" s="223">
        <f t="shared" si="2"/>
        <v>272</v>
      </c>
      <c r="Q174" s="219">
        <v>3800</v>
      </c>
    </row>
    <row r="175" spans="2:17" ht="15.75">
      <c r="B175" s="57" t="s">
        <v>320</v>
      </c>
      <c r="C175" s="199" t="s">
        <v>321</v>
      </c>
      <c r="D175" s="199" t="s">
        <v>16</v>
      </c>
      <c r="E175" s="200">
        <v>0</v>
      </c>
      <c r="F175" s="201">
        <v>111.24700000000001</v>
      </c>
      <c r="G175" s="201">
        <v>0</v>
      </c>
      <c r="H175" s="200"/>
      <c r="I175" s="200"/>
      <c r="J175" s="215">
        <v>26</v>
      </c>
      <c r="K175" s="215">
        <v>7.9</v>
      </c>
      <c r="L175" s="215">
        <v>12</v>
      </c>
      <c r="M175" s="216">
        <v>12.5</v>
      </c>
      <c r="N175" s="215"/>
      <c r="O175" s="215">
        <v>14</v>
      </c>
      <c r="P175" s="223">
        <f t="shared" si="2"/>
        <v>183.87933884297524</v>
      </c>
      <c r="Q175" s="219">
        <f>367.759*4*2</f>
        <v>2942.0720000000001</v>
      </c>
    </row>
    <row r="176" spans="2:17" ht="15.75">
      <c r="B176" s="57" t="s">
        <v>322</v>
      </c>
      <c r="C176" s="199" t="s">
        <v>323</v>
      </c>
      <c r="D176" s="199" t="s">
        <v>16</v>
      </c>
      <c r="E176" s="200">
        <v>0</v>
      </c>
      <c r="F176" s="201">
        <v>111.24700000000001</v>
      </c>
      <c r="G176" s="201">
        <v>0</v>
      </c>
      <c r="H176" s="200"/>
      <c r="I176" s="200"/>
      <c r="J176" s="215">
        <v>21</v>
      </c>
      <c r="K176" s="215">
        <v>8.1999999999999993</v>
      </c>
      <c r="L176" s="215">
        <v>11.5</v>
      </c>
      <c r="M176" s="216">
        <v>11.5</v>
      </c>
      <c r="N176" s="215"/>
      <c r="O176" s="215">
        <v>12</v>
      </c>
      <c r="P176" s="223">
        <f t="shared" si="2"/>
        <v>183.87933884297524</v>
      </c>
      <c r="Q176" s="219">
        <v>1393.4</v>
      </c>
    </row>
    <row r="177" spans="2:21" ht="15.75">
      <c r="B177" s="57" t="s">
        <v>324</v>
      </c>
      <c r="C177" s="199" t="s">
        <v>325</v>
      </c>
      <c r="D177" s="199" t="s">
        <v>16</v>
      </c>
      <c r="E177" s="200">
        <v>0</v>
      </c>
      <c r="F177" s="201">
        <v>111.24700000000001</v>
      </c>
      <c r="G177" s="201">
        <v>0</v>
      </c>
      <c r="H177" s="200"/>
      <c r="I177" s="200"/>
      <c r="J177" s="215">
        <v>26</v>
      </c>
      <c r="K177" s="215">
        <v>8.4</v>
      </c>
      <c r="L177" s="215">
        <v>12</v>
      </c>
      <c r="M177" s="216">
        <v>12.3</v>
      </c>
      <c r="N177" s="215"/>
      <c r="O177" s="215">
        <v>14</v>
      </c>
      <c r="P177" s="223">
        <f t="shared" si="2"/>
        <v>183.87933884297524</v>
      </c>
      <c r="Q177" s="219">
        <f>367.759*4*2</f>
        <v>2942.0720000000001</v>
      </c>
    </row>
    <row r="178" spans="2:21" ht="15.75">
      <c r="B178" s="57" t="s">
        <v>326</v>
      </c>
      <c r="C178" s="199" t="s">
        <v>327</v>
      </c>
      <c r="D178" s="199" t="s">
        <v>16</v>
      </c>
      <c r="E178" s="200">
        <v>0</v>
      </c>
      <c r="F178" s="201">
        <v>164.56</v>
      </c>
      <c r="G178" s="201">
        <v>0</v>
      </c>
      <c r="H178" s="200"/>
      <c r="I178" s="200"/>
      <c r="J178" s="215">
        <v>24</v>
      </c>
      <c r="K178" s="215">
        <v>9.9</v>
      </c>
      <c r="L178" s="215">
        <v>14</v>
      </c>
      <c r="M178" s="216">
        <v>11.5</v>
      </c>
      <c r="N178" s="215"/>
      <c r="O178" s="215">
        <v>16</v>
      </c>
      <c r="P178" s="223">
        <f t="shared" si="2"/>
        <v>272</v>
      </c>
      <c r="Q178" s="219">
        <v>3800</v>
      </c>
    </row>
    <row r="179" spans="2:21" ht="15.75">
      <c r="B179" s="57" t="s">
        <v>328</v>
      </c>
      <c r="C179" s="199" t="s">
        <v>329</v>
      </c>
      <c r="D179" s="199" t="s">
        <v>16</v>
      </c>
      <c r="E179" s="200">
        <v>0</v>
      </c>
      <c r="F179" s="201">
        <v>111.24700000000001</v>
      </c>
      <c r="G179" s="201">
        <v>0</v>
      </c>
      <c r="H179" s="200"/>
      <c r="I179" s="200"/>
      <c r="J179" s="215">
        <v>26</v>
      </c>
      <c r="K179" s="215">
        <v>8.4</v>
      </c>
      <c r="L179" s="215">
        <v>12</v>
      </c>
      <c r="M179" s="216">
        <v>12</v>
      </c>
      <c r="N179" s="215"/>
      <c r="O179" s="215">
        <v>14</v>
      </c>
      <c r="P179" s="223">
        <f t="shared" si="2"/>
        <v>183.87933884297524</v>
      </c>
      <c r="Q179" s="219">
        <f>367.759*4*2</f>
        <v>2942.0720000000001</v>
      </c>
    </row>
    <row r="180" spans="2:21" ht="15.75">
      <c r="B180" s="57" t="s">
        <v>330</v>
      </c>
      <c r="C180" s="199" t="s">
        <v>331</v>
      </c>
      <c r="D180" s="199" t="s">
        <v>16</v>
      </c>
      <c r="E180" s="200">
        <v>0</v>
      </c>
      <c r="F180" s="201">
        <v>172.304</v>
      </c>
      <c r="G180" s="201">
        <v>0</v>
      </c>
      <c r="H180" s="200"/>
      <c r="I180" s="200"/>
      <c r="J180" s="215">
        <v>24</v>
      </c>
      <c r="K180" s="215">
        <v>9.9</v>
      </c>
      <c r="L180" s="215">
        <v>14</v>
      </c>
      <c r="M180" s="216">
        <v>12</v>
      </c>
      <c r="N180" s="215"/>
      <c r="O180" s="215">
        <v>16</v>
      </c>
      <c r="P180" s="223">
        <f t="shared" si="2"/>
        <v>284.8</v>
      </c>
      <c r="Q180" s="219">
        <v>3800</v>
      </c>
    </row>
    <row r="181" spans="2:21" ht="15.75">
      <c r="B181" s="57" t="s">
        <v>332</v>
      </c>
      <c r="C181" s="199" t="s">
        <v>333</v>
      </c>
      <c r="D181" s="199"/>
      <c r="E181" s="200"/>
      <c r="F181" s="201"/>
      <c r="G181" s="201"/>
      <c r="H181" s="200"/>
      <c r="I181" s="200"/>
      <c r="J181" s="200">
        <v>24</v>
      </c>
      <c r="K181" s="200">
        <v>9.9</v>
      </c>
      <c r="L181" s="200">
        <v>14</v>
      </c>
      <c r="M181" s="216">
        <v>12.5</v>
      </c>
      <c r="N181" s="226"/>
      <c r="O181" s="215">
        <v>16</v>
      </c>
      <c r="P181" s="227"/>
      <c r="Q181" s="219">
        <v>3800</v>
      </c>
    </row>
    <row r="182" spans="2:21" ht="16.5" thickBot="1">
      <c r="B182" s="58" t="s">
        <v>334</v>
      </c>
      <c r="C182" s="205" t="s">
        <v>335</v>
      </c>
      <c r="D182" s="205"/>
      <c r="E182" s="206"/>
      <c r="F182" s="207"/>
      <c r="G182" s="207"/>
      <c r="H182" s="206"/>
      <c r="I182" s="206"/>
      <c r="J182" s="206">
        <v>24</v>
      </c>
      <c r="K182" s="206">
        <v>9.9</v>
      </c>
      <c r="L182" s="206">
        <v>14</v>
      </c>
      <c r="M182" s="228">
        <v>12.3</v>
      </c>
      <c r="N182" s="229"/>
      <c r="O182" s="230">
        <v>16</v>
      </c>
      <c r="P182" s="231"/>
      <c r="Q182" s="222">
        <v>3800</v>
      </c>
    </row>
    <row r="183" spans="2:21" ht="15.75">
      <c r="B183" s="13"/>
      <c r="C183" s="13"/>
      <c r="D183" s="13"/>
      <c r="E183" s="1"/>
      <c r="F183" s="3"/>
      <c r="G183" s="3"/>
      <c r="H183" s="1"/>
      <c r="I183" s="1"/>
      <c r="J183" s="95"/>
      <c r="K183" s="95"/>
      <c r="L183" s="1"/>
      <c r="M183" s="94"/>
      <c r="O183" s="131"/>
      <c r="P183" s="7"/>
      <c r="Q183" s="8"/>
    </row>
    <row r="184" spans="2:21" ht="16.5" thickBot="1">
      <c r="B184" s="13"/>
      <c r="C184" s="13"/>
      <c r="D184" s="13"/>
      <c r="E184" s="1"/>
      <c r="F184" s="3"/>
      <c r="G184" s="3"/>
      <c r="H184" s="1"/>
      <c r="I184" s="1"/>
      <c r="J184" s="95"/>
      <c r="K184" s="95"/>
      <c r="L184" s="1"/>
      <c r="M184" s="94"/>
      <c r="O184" s="131"/>
      <c r="P184" s="7"/>
      <c r="Q184" s="8"/>
    </row>
    <row r="185" spans="2:21">
      <c r="B185" s="340" t="s">
        <v>336</v>
      </c>
      <c r="C185" s="341"/>
      <c r="D185" s="341"/>
      <c r="E185" s="341"/>
      <c r="F185" s="341"/>
      <c r="G185" s="341"/>
      <c r="H185" s="341"/>
      <c r="I185" s="341"/>
      <c r="J185" s="341"/>
      <c r="K185" s="341"/>
      <c r="L185" s="341"/>
      <c r="M185" s="341"/>
      <c r="N185" s="341"/>
      <c r="O185" s="342"/>
      <c r="P185" s="7"/>
      <c r="Q185" s="8"/>
    </row>
    <row r="186" spans="2:21">
      <c r="B186" s="343"/>
      <c r="C186" s="344"/>
      <c r="D186" s="344"/>
      <c r="E186" s="344"/>
      <c r="F186" s="344"/>
      <c r="G186" s="344"/>
      <c r="H186" s="344"/>
      <c r="I186" s="344"/>
      <c r="J186" s="344"/>
      <c r="K186" s="344"/>
      <c r="L186" s="344"/>
      <c r="M186" s="344"/>
      <c r="N186" s="344"/>
      <c r="O186" s="345"/>
      <c r="P186" s="24"/>
      <c r="Q186"/>
    </row>
    <row r="187" spans="2:21" ht="30">
      <c r="B187" s="68" t="s">
        <v>6</v>
      </c>
      <c r="C187" s="69" t="s">
        <v>7</v>
      </c>
      <c r="D187" s="69"/>
      <c r="E187" s="70"/>
      <c r="F187" s="71"/>
      <c r="G187" s="71"/>
      <c r="H187" s="70"/>
      <c r="I187" s="70"/>
      <c r="J187" s="72" t="s">
        <v>8</v>
      </c>
      <c r="K187" s="72" t="s">
        <v>9</v>
      </c>
      <c r="L187" s="71" t="s">
        <v>337</v>
      </c>
      <c r="M187" s="71" t="s">
        <v>338</v>
      </c>
      <c r="N187" s="74"/>
      <c r="O187" s="73" t="s">
        <v>13</v>
      </c>
      <c r="P187" s="25"/>
      <c r="Q187"/>
    </row>
    <row r="188" spans="2:21" ht="15.75">
      <c r="B188" s="63" t="s">
        <v>339</v>
      </c>
      <c r="C188" s="97" t="s">
        <v>340</v>
      </c>
      <c r="D188" s="97" t="s">
        <v>16</v>
      </c>
      <c r="E188" s="98">
        <v>0</v>
      </c>
      <c r="F188" s="99">
        <v>1.1619999999999999</v>
      </c>
      <c r="G188" s="99">
        <v>0</v>
      </c>
      <c r="H188" s="98"/>
      <c r="I188" s="98"/>
      <c r="J188" s="117">
        <v>9</v>
      </c>
      <c r="K188" s="117">
        <v>4.9000000000000004</v>
      </c>
      <c r="L188" s="118">
        <v>8</v>
      </c>
      <c r="M188" s="119" t="s">
        <v>341</v>
      </c>
      <c r="N188" s="120"/>
      <c r="O188" s="115">
        <v>45</v>
      </c>
      <c r="P188" s="26">
        <f t="shared" si="2"/>
        <v>1.9206611570247933</v>
      </c>
      <c r="Q188"/>
    </row>
    <row r="189" spans="2:21" ht="15.75">
      <c r="B189" s="63" t="s">
        <v>342</v>
      </c>
      <c r="C189" s="97" t="s">
        <v>343</v>
      </c>
      <c r="D189" s="97" t="s">
        <v>16</v>
      </c>
      <c r="E189" s="98">
        <v>0</v>
      </c>
      <c r="F189" s="99">
        <v>2.7589999999999999</v>
      </c>
      <c r="G189" s="99">
        <v>0</v>
      </c>
      <c r="H189" s="98"/>
      <c r="I189" s="98"/>
      <c r="J189" s="117">
        <v>12.5</v>
      </c>
      <c r="K189" s="117">
        <v>5.9</v>
      </c>
      <c r="L189" s="118">
        <v>10</v>
      </c>
      <c r="M189" s="119" t="s">
        <v>344</v>
      </c>
      <c r="N189" s="120"/>
      <c r="O189" s="115">
        <f>9.121*4*2</f>
        <v>72.968000000000004</v>
      </c>
      <c r="P189" s="26">
        <f t="shared" si="2"/>
        <v>4.5603305785123966</v>
      </c>
      <c r="Q189"/>
    </row>
    <row r="190" spans="2:21" ht="15.75">
      <c r="B190" s="63" t="s">
        <v>345</v>
      </c>
      <c r="C190" s="97" t="s">
        <v>346</v>
      </c>
      <c r="D190" s="97" t="s">
        <v>16</v>
      </c>
      <c r="E190" s="98">
        <v>0</v>
      </c>
      <c r="F190" s="99">
        <v>3.0249999999999999</v>
      </c>
      <c r="G190" s="99">
        <v>0</v>
      </c>
      <c r="H190" s="98"/>
      <c r="I190" s="98"/>
      <c r="J190" s="117">
        <v>13.5</v>
      </c>
      <c r="K190" s="117">
        <v>6.9</v>
      </c>
      <c r="L190" s="118">
        <v>8</v>
      </c>
      <c r="M190" s="119" t="s">
        <v>344</v>
      </c>
      <c r="N190" s="120"/>
      <c r="O190" s="115">
        <v>80</v>
      </c>
      <c r="P190" s="26">
        <f t="shared" si="2"/>
        <v>5</v>
      </c>
      <c r="Q190"/>
      <c r="U190" s="4" t="s">
        <v>338</v>
      </c>
    </row>
    <row r="191" spans="2:21" ht="15.75">
      <c r="B191" s="63" t="s">
        <v>347</v>
      </c>
      <c r="C191" s="97" t="s">
        <v>348</v>
      </c>
      <c r="D191" s="97" t="s">
        <v>16</v>
      </c>
      <c r="E191" s="98">
        <v>0</v>
      </c>
      <c r="F191" s="99">
        <v>3.3879999999999999</v>
      </c>
      <c r="G191" s="99">
        <v>0</v>
      </c>
      <c r="H191" s="98"/>
      <c r="I191" s="98"/>
      <c r="J191" s="117">
        <v>13.5</v>
      </c>
      <c r="K191" s="117">
        <v>6.9</v>
      </c>
      <c r="L191" s="118">
        <v>10</v>
      </c>
      <c r="M191" s="119" t="s">
        <v>341</v>
      </c>
      <c r="N191" s="120"/>
      <c r="O191" s="115">
        <f>11.2*4*2</f>
        <v>89.6</v>
      </c>
      <c r="P191" s="26">
        <f t="shared" si="2"/>
        <v>5.6</v>
      </c>
      <c r="Q191"/>
    </row>
    <row r="192" spans="2:21" ht="15.75">
      <c r="B192" s="63" t="s">
        <v>349</v>
      </c>
      <c r="C192" s="97" t="s">
        <v>348</v>
      </c>
      <c r="D192" s="97" t="s">
        <v>16</v>
      </c>
      <c r="E192" s="98">
        <v>0</v>
      </c>
      <c r="F192" s="99">
        <v>3.8719999999999999</v>
      </c>
      <c r="G192" s="99">
        <v>0</v>
      </c>
      <c r="H192" s="98"/>
      <c r="I192" s="98"/>
      <c r="J192" s="117">
        <v>13.5</v>
      </c>
      <c r="K192" s="117">
        <v>6.9</v>
      </c>
      <c r="L192" s="118">
        <v>10</v>
      </c>
      <c r="M192" s="119" t="s">
        <v>344</v>
      </c>
      <c r="N192" s="120"/>
      <c r="O192" s="115">
        <f>12.8*4*2</f>
        <v>102.4</v>
      </c>
      <c r="P192" s="26">
        <f t="shared" si="2"/>
        <v>6.4</v>
      </c>
      <c r="Q192"/>
    </row>
    <row r="193" spans="2:17" ht="15.75">
      <c r="B193" s="63" t="s">
        <v>350</v>
      </c>
      <c r="C193" s="97" t="s">
        <v>351</v>
      </c>
      <c r="D193" s="97" t="s">
        <v>16</v>
      </c>
      <c r="E193" s="98">
        <v>0</v>
      </c>
      <c r="F193" s="99">
        <v>4.5250000000000004</v>
      </c>
      <c r="G193" s="99">
        <v>0</v>
      </c>
      <c r="H193" s="98"/>
      <c r="I193" s="98"/>
      <c r="J193" s="117">
        <v>15</v>
      </c>
      <c r="K193" s="117">
        <v>7.9</v>
      </c>
      <c r="L193" s="118">
        <v>10</v>
      </c>
      <c r="M193" s="119" t="s">
        <v>344</v>
      </c>
      <c r="N193" s="120"/>
      <c r="O193" s="115">
        <f>14.959*4*2</f>
        <v>119.672</v>
      </c>
      <c r="P193" s="26">
        <f t="shared" ref="P193:P256" si="3">+(F193/1.21)*2</f>
        <v>7.4793388429752072</v>
      </c>
      <c r="Q193"/>
    </row>
    <row r="194" spans="2:17" ht="15.75">
      <c r="B194" s="63" t="s">
        <v>352</v>
      </c>
      <c r="C194" s="97" t="s">
        <v>353</v>
      </c>
      <c r="D194" s="97" t="s">
        <v>16</v>
      </c>
      <c r="E194" s="98">
        <v>0</v>
      </c>
      <c r="F194" s="99">
        <v>5.2029999999999994</v>
      </c>
      <c r="G194" s="99">
        <v>0</v>
      </c>
      <c r="H194" s="98"/>
      <c r="I194" s="98"/>
      <c r="J194" s="117">
        <v>15</v>
      </c>
      <c r="K194" s="117">
        <v>7.9</v>
      </c>
      <c r="L194" s="118">
        <v>13</v>
      </c>
      <c r="M194" s="119" t="s">
        <v>344</v>
      </c>
      <c r="N194" s="120"/>
      <c r="O194" s="115">
        <f>17.2*4*2</f>
        <v>137.6</v>
      </c>
      <c r="P194" s="26">
        <f t="shared" si="3"/>
        <v>8.6</v>
      </c>
      <c r="Q194"/>
    </row>
    <row r="195" spans="2:17" ht="15.75">
      <c r="B195" s="63" t="s">
        <v>354</v>
      </c>
      <c r="C195" s="97" t="s">
        <v>355</v>
      </c>
      <c r="D195" s="97" t="s">
        <v>16</v>
      </c>
      <c r="E195" s="98">
        <v>0</v>
      </c>
      <c r="F195" s="99">
        <v>5.8559999999999999</v>
      </c>
      <c r="G195" s="99">
        <v>0</v>
      </c>
      <c r="H195" s="98"/>
      <c r="I195" s="98"/>
      <c r="J195" s="117">
        <v>15</v>
      </c>
      <c r="K195" s="117">
        <v>7.9</v>
      </c>
      <c r="L195" s="118">
        <v>16.5</v>
      </c>
      <c r="M195" s="119" t="s">
        <v>344</v>
      </c>
      <c r="N195" s="120"/>
      <c r="O195" s="115">
        <f>19.359*4*2</f>
        <v>154.87200000000001</v>
      </c>
      <c r="P195" s="26">
        <f t="shared" si="3"/>
        <v>9.6793388429752074</v>
      </c>
      <c r="Q195"/>
    </row>
    <row r="196" spans="2:17" ht="15.75">
      <c r="B196" s="63" t="s">
        <v>356</v>
      </c>
      <c r="C196" s="97" t="s">
        <v>357</v>
      </c>
      <c r="D196" s="97" t="s">
        <v>16</v>
      </c>
      <c r="E196" s="98">
        <v>0</v>
      </c>
      <c r="F196" s="99">
        <v>5.5659999999999998</v>
      </c>
      <c r="G196" s="99">
        <v>0</v>
      </c>
      <c r="H196" s="98"/>
      <c r="I196" s="98"/>
      <c r="J196" s="117">
        <v>15</v>
      </c>
      <c r="K196" s="117">
        <v>7.9</v>
      </c>
      <c r="L196" s="118">
        <v>14.5</v>
      </c>
      <c r="M196" s="119" t="s">
        <v>344</v>
      </c>
      <c r="N196" s="120"/>
      <c r="O196" s="115">
        <f>18.4*4*2</f>
        <v>147.19999999999999</v>
      </c>
      <c r="P196" s="26">
        <f t="shared" si="3"/>
        <v>9.1999999999999993</v>
      </c>
      <c r="Q196"/>
    </row>
    <row r="197" spans="2:17" ht="15.75">
      <c r="B197" s="63" t="s">
        <v>358</v>
      </c>
      <c r="C197" s="97" t="s">
        <v>359</v>
      </c>
      <c r="D197" s="97" t="s">
        <v>16</v>
      </c>
      <c r="E197" s="98">
        <v>0</v>
      </c>
      <c r="F197" s="99">
        <v>2.952</v>
      </c>
      <c r="G197" s="99">
        <v>0</v>
      </c>
      <c r="H197" s="98"/>
      <c r="I197" s="98"/>
      <c r="J197" s="117">
        <v>11.5</v>
      </c>
      <c r="K197" s="117">
        <v>5.9</v>
      </c>
      <c r="L197" s="118">
        <v>11.5</v>
      </c>
      <c r="M197" s="119" t="s">
        <v>341</v>
      </c>
      <c r="N197" s="120"/>
      <c r="O197" s="115">
        <f>9.759*4*2</f>
        <v>78.072000000000003</v>
      </c>
      <c r="P197" s="26">
        <f t="shared" si="3"/>
        <v>4.8793388429752067</v>
      </c>
      <c r="Q197"/>
    </row>
    <row r="198" spans="2:17" ht="15.75">
      <c r="B198" s="63" t="s">
        <v>360</v>
      </c>
      <c r="C198" s="97" t="s">
        <v>361</v>
      </c>
      <c r="D198" s="97" t="s">
        <v>16</v>
      </c>
      <c r="E198" s="98">
        <v>0</v>
      </c>
      <c r="F198" s="99">
        <v>1.452</v>
      </c>
      <c r="G198" s="99">
        <v>0</v>
      </c>
      <c r="H198" s="98"/>
      <c r="I198" s="98"/>
      <c r="J198" s="117">
        <v>9</v>
      </c>
      <c r="K198" s="117">
        <v>4.9000000000000004</v>
      </c>
      <c r="L198" s="118">
        <v>13</v>
      </c>
      <c r="M198" s="119" t="s">
        <v>341</v>
      </c>
      <c r="N198" s="120"/>
      <c r="O198" s="115">
        <v>58.4</v>
      </c>
      <c r="P198" s="26">
        <f t="shared" si="3"/>
        <v>2.4</v>
      </c>
      <c r="Q198"/>
    </row>
    <row r="199" spans="2:17" ht="15.75">
      <c r="B199" s="63" t="s">
        <v>362</v>
      </c>
      <c r="C199" s="97" t="s">
        <v>363</v>
      </c>
      <c r="D199" s="97" t="s">
        <v>16</v>
      </c>
      <c r="E199" s="98">
        <v>0</v>
      </c>
      <c r="F199" s="99">
        <v>1.258</v>
      </c>
      <c r="G199" s="99">
        <v>0</v>
      </c>
      <c r="H199" s="98"/>
      <c r="I199" s="98"/>
      <c r="J199" s="117">
        <v>9</v>
      </c>
      <c r="K199" s="117">
        <v>4.9000000000000004</v>
      </c>
      <c r="L199" s="118">
        <v>10</v>
      </c>
      <c r="M199" s="119" t="s">
        <v>341</v>
      </c>
      <c r="N199" s="120"/>
      <c r="O199" s="115">
        <v>50</v>
      </c>
      <c r="P199" s="26">
        <f t="shared" si="3"/>
        <v>2.0793388429752069</v>
      </c>
      <c r="Q199"/>
    </row>
    <row r="200" spans="2:17" ht="15.75">
      <c r="B200" s="63" t="s">
        <v>364</v>
      </c>
      <c r="C200" s="97" t="s">
        <v>365</v>
      </c>
      <c r="D200" s="97"/>
      <c r="E200" s="98"/>
      <c r="F200" s="99"/>
      <c r="G200" s="99"/>
      <c r="H200" s="98"/>
      <c r="I200" s="98"/>
      <c r="J200" s="117">
        <v>17.5</v>
      </c>
      <c r="K200" s="117">
        <v>11.8</v>
      </c>
      <c r="L200" s="118">
        <v>31.5</v>
      </c>
      <c r="M200" s="119" t="s">
        <v>344</v>
      </c>
      <c r="N200" s="120"/>
      <c r="O200" s="115">
        <f>108.8*4*2</f>
        <v>870.4</v>
      </c>
      <c r="P200" s="26"/>
      <c r="Q200"/>
    </row>
    <row r="201" spans="2:17" ht="15.75">
      <c r="B201" s="63" t="s">
        <v>366</v>
      </c>
      <c r="C201" s="97" t="s">
        <v>367</v>
      </c>
      <c r="D201" s="97" t="s">
        <v>16</v>
      </c>
      <c r="E201" s="98">
        <v>0</v>
      </c>
      <c r="F201" s="99">
        <v>6.7759999999999998</v>
      </c>
      <c r="G201" s="99">
        <v>0</v>
      </c>
      <c r="H201" s="98"/>
      <c r="I201" s="98"/>
      <c r="J201" s="117">
        <v>15</v>
      </c>
      <c r="K201" s="117">
        <v>8.3000000000000007</v>
      </c>
      <c r="L201" s="118">
        <v>16</v>
      </c>
      <c r="M201" s="119" t="s">
        <v>344</v>
      </c>
      <c r="N201" s="120"/>
      <c r="O201" s="115">
        <f>22.4*4*2</f>
        <v>179.2</v>
      </c>
      <c r="P201" s="26">
        <f t="shared" si="3"/>
        <v>11.2</v>
      </c>
      <c r="Q201"/>
    </row>
    <row r="202" spans="2:17" ht="15.75">
      <c r="B202" s="63" t="s">
        <v>368</v>
      </c>
      <c r="C202" s="97" t="s">
        <v>369</v>
      </c>
      <c r="D202" s="97" t="s">
        <v>16</v>
      </c>
      <c r="E202" s="98">
        <v>0</v>
      </c>
      <c r="F202" s="99">
        <v>9.1959999999999997</v>
      </c>
      <c r="G202" s="99">
        <v>0</v>
      </c>
      <c r="H202" s="98"/>
      <c r="I202" s="98"/>
      <c r="J202" s="117">
        <v>15</v>
      </c>
      <c r="K202" s="117">
        <v>8.3000000000000007</v>
      </c>
      <c r="L202" s="118">
        <v>25</v>
      </c>
      <c r="M202" s="119" t="s">
        <v>344</v>
      </c>
      <c r="N202" s="120"/>
      <c r="O202" s="115">
        <f>30.4*4*2</f>
        <v>243.2</v>
      </c>
      <c r="P202" s="26">
        <f t="shared" si="3"/>
        <v>15.2</v>
      </c>
      <c r="Q202"/>
    </row>
    <row r="203" spans="2:17" ht="15.75">
      <c r="B203" s="63" t="s">
        <v>370</v>
      </c>
      <c r="C203" s="97" t="s">
        <v>371</v>
      </c>
      <c r="D203" s="97" t="s">
        <v>16</v>
      </c>
      <c r="E203" s="98">
        <v>0</v>
      </c>
      <c r="F203" s="99">
        <v>27.878</v>
      </c>
      <c r="G203" s="99">
        <v>0</v>
      </c>
      <c r="H203" s="98"/>
      <c r="I203" s="98"/>
      <c r="J203" s="117">
        <v>16</v>
      </c>
      <c r="K203" s="117">
        <v>9.9</v>
      </c>
      <c r="L203" s="118">
        <v>29</v>
      </c>
      <c r="M203" s="119" t="s">
        <v>344</v>
      </c>
      <c r="N203" s="120"/>
      <c r="O203" s="115">
        <f>92.159*4*2</f>
        <v>737.27200000000005</v>
      </c>
      <c r="P203" s="26">
        <f t="shared" si="3"/>
        <v>46.079338842975211</v>
      </c>
      <c r="Q203"/>
    </row>
    <row r="204" spans="2:17" ht="15.75">
      <c r="B204" s="63" t="s">
        <v>372</v>
      </c>
      <c r="C204" s="97" t="s">
        <v>373</v>
      </c>
      <c r="D204" s="97" t="s">
        <v>16</v>
      </c>
      <c r="E204" s="98">
        <v>0</v>
      </c>
      <c r="F204" s="99">
        <v>9.7279999999999998</v>
      </c>
      <c r="G204" s="99">
        <v>0</v>
      </c>
      <c r="H204" s="98"/>
      <c r="I204" s="98"/>
      <c r="J204" s="117">
        <v>15</v>
      </c>
      <c r="K204" s="117">
        <v>8.3000000000000007</v>
      </c>
      <c r="L204" s="118">
        <v>27</v>
      </c>
      <c r="M204" s="119" t="s">
        <v>374</v>
      </c>
      <c r="N204" s="120"/>
      <c r="O204" s="115">
        <f>32.159*4*2</f>
        <v>257.27199999999999</v>
      </c>
      <c r="P204" s="26">
        <f t="shared" si="3"/>
        <v>16.079338842975208</v>
      </c>
      <c r="Q204"/>
    </row>
    <row r="205" spans="2:17" ht="15.75">
      <c r="B205" s="63" t="s">
        <v>375</v>
      </c>
      <c r="C205" s="97" t="s">
        <v>376</v>
      </c>
      <c r="D205" s="97" t="s">
        <v>16</v>
      </c>
      <c r="E205" s="98">
        <v>0</v>
      </c>
      <c r="F205" s="99">
        <v>2.323</v>
      </c>
      <c r="G205" s="99">
        <v>0</v>
      </c>
      <c r="H205" s="98"/>
      <c r="I205" s="98"/>
      <c r="J205" s="117">
        <v>10</v>
      </c>
      <c r="K205" s="117">
        <v>4.9000000000000004</v>
      </c>
      <c r="L205" s="118">
        <v>11</v>
      </c>
      <c r="M205" s="119" t="s">
        <v>341</v>
      </c>
      <c r="N205" s="120"/>
      <c r="O205" s="115">
        <f>7.679*4*2</f>
        <v>61.432000000000002</v>
      </c>
      <c r="P205" s="26">
        <f t="shared" si="3"/>
        <v>3.8396694214876033</v>
      </c>
      <c r="Q205"/>
    </row>
    <row r="206" spans="2:17" ht="15.75">
      <c r="B206" s="63" t="s">
        <v>377</v>
      </c>
      <c r="C206" s="97" t="s">
        <v>378</v>
      </c>
      <c r="D206" s="97" t="s">
        <v>16</v>
      </c>
      <c r="E206" s="98">
        <v>0</v>
      </c>
      <c r="F206" s="99">
        <v>5.0339999999999998</v>
      </c>
      <c r="G206" s="99">
        <v>0</v>
      </c>
      <c r="H206" s="98"/>
      <c r="I206" s="98"/>
      <c r="J206" s="117">
        <v>14.5</v>
      </c>
      <c r="K206" s="117">
        <v>7.9</v>
      </c>
      <c r="L206" s="118">
        <v>10</v>
      </c>
      <c r="M206" s="119" t="s">
        <v>374</v>
      </c>
      <c r="N206" s="120"/>
      <c r="O206" s="115">
        <f>16.641*4*2</f>
        <v>133.12799999999999</v>
      </c>
      <c r="P206" s="26">
        <f t="shared" si="3"/>
        <v>8.3206611570247926</v>
      </c>
      <c r="Q206"/>
    </row>
    <row r="207" spans="2:17" ht="15.75">
      <c r="B207" s="63" t="s">
        <v>379</v>
      </c>
      <c r="C207" s="97" t="s">
        <v>380</v>
      </c>
      <c r="D207" s="97" t="s">
        <v>16</v>
      </c>
      <c r="E207" s="98">
        <v>0</v>
      </c>
      <c r="F207" s="99">
        <v>5.7350000000000003</v>
      </c>
      <c r="G207" s="99">
        <v>0</v>
      </c>
      <c r="H207" s="98"/>
      <c r="I207" s="98"/>
      <c r="J207" s="117">
        <v>14.5</v>
      </c>
      <c r="K207" s="117">
        <v>7.9</v>
      </c>
      <c r="L207" s="118">
        <v>12</v>
      </c>
      <c r="M207" s="119" t="s">
        <v>374</v>
      </c>
      <c r="N207" s="120"/>
      <c r="O207" s="115">
        <f>18.959*4*2</f>
        <v>151.672</v>
      </c>
      <c r="P207" s="26">
        <f t="shared" si="3"/>
        <v>9.4793388429752081</v>
      </c>
      <c r="Q207"/>
    </row>
    <row r="208" spans="2:17" ht="15.75">
      <c r="B208" s="63" t="s">
        <v>381</v>
      </c>
      <c r="C208" s="97" t="s">
        <v>382</v>
      </c>
      <c r="D208" s="97" t="s">
        <v>16</v>
      </c>
      <c r="E208" s="98">
        <v>0</v>
      </c>
      <c r="F208" s="99">
        <v>3.7269999999999999</v>
      </c>
      <c r="G208" s="99">
        <v>0</v>
      </c>
      <c r="H208" s="98"/>
      <c r="I208" s="98"/>
      <c r="J208" s="117">
        <v>9</v>
      </c>
      <c r="K208" s="117">
        <v>5.9</v>
      </c>
      <c r="L208" s="118">
        <v>10</v>
      </c>
      <c r="M208" s="119" t="s">
        <v>374</v>
      </c>
      <c r="N208" s="120"/>
      <c r="O208" s="115">
        <v>76</v>
      </c>
      <c r="P208" s="26">
        <f t="shared" si="3"/>
        <v>6.1603305785123963</v>
      </c>
      <c r="Q208"/>
    </row>
    <row r="209" spans="2:21" ht="15.75">
      <c r="B209" s="63" t="s">
        <v>383</v>
      </c>
      <c r="C209" s="97" t="s">
        <v>384</v>
      </c>
      <c r="D209" s="97" t="s">
        <v>16</v>
      </c>
      <c r="E209" s="98">
        <v>0</v>
      </c>
      <c r="F209" s="99">
        <v>4.2589999999999995</v>
      </c>
      <c r="G209" s="99">
        <v>0</v>
      </c>
      <c r="H209" s="98"/>
      <c r="I209" s="98"/>
      <c r="J209" s="117">
        <v>13.5</v>
      </c>
      <c r="K209" s="117">
        <v>6.9</v>
      </c>
      <c r="L209" s="118">
        <v>10</v>
      </c>
      <c r="M209" s="119" t="s">
        <v>374</v>
      </c>
      <c r="N209" s="120"/>
      <c r="O209" s="115">
        <f>14.079*4*2</f>
        <v>112.63200000000001</v>
      </c>
      <c r="P209" s="26">
        <f t="shared" si="3"/>
        <v>7.039669421487603</v>
      </c>
      <c r="Q209"/>
    </row>
    <row r="210" spans="2:21" ht="15.75">
      <c r="B210" s="63" t="s">
        <v>385</v>
      </c>
      <c r="C210" s="97" t="s">
        <v>386</v>
      </c>
      <c r="D210" s="97" t="s">
        <v>16</v>
      </c>
      <c r="E210" s="98">
        <v>0</v>
      </c>
      <c r="F210" s="99">
        <v>5.3239999999999998</v>
      </c>
      <c r="G210" s="99">
        <v>0</v>
      </c>
      <c r="H210" s="98"/>
      <c r="I210" s="98"/>
      <c r="J210" s="117">
        <v>9</v>
      </c>
      <c r="K210" s="117">
        <v>4.9000000000000004</v>
      </c>
      <c r="L210" s="118">
        <v>11</v>
      </c>
      <c r="M210" s="119" t="s">
        <v>374</v>
      </c>
      <c r="N210" s="120"/>
      <c r="O210" s="115">
        <f>17.6*4*2</f>
        <v>140.80000000000001</v>
      </c>
      <c r="P210" s="26">
        <f t="shared" si="3"/>
        <v>8.8000000000000007</v>
      </c>
      <c r="Q210"/>
    </row>
    <row r="211" spans="2:21" ht="15.75">
      <c r="B211" s="63" t="s">
        <v>387</v>
      </c>
      <c r="C211" s="97" t="s">
        <v>388</v>
      </c>
      <c r="D211" s="97" t="s">
        <v>16</v>
      </c>
      <c r="E211" s="98">
        <v>0</v>
      </c>
      <c r="F211" s="99">
        <v>18.875999999999998</v>
      </c>
      <c r="G211" s="99">
        <v>0</v>
      </c>
      <c r="H211" s="98"/>
      <c r="I211" s="98"/>
      <c r="J211" s="117">
        <v>17</v>
      </c>
      <c r="K211" s="117">
        <v>9.9</v>
      </c>
      <c r="L211" s="118">
        <v>17</v>
      </c>
      <c r="M211" s="119" t="s">
        <v>374</v>
      </c>
      <c r="N211" s="120"/>
      <c r="O211" s="115">
        <f>62.4*4*2</f>
        <v>499.2</v>
      </c>
      <c r="P211" s="26">
        <f t="shared" si="3"/>
        <v>31.199999999999996</v>
      </c>
      <c r="Q211"/>
    </row>
    <row r="212" spans="2:21" ht="15.75">
      <c r="B212" s="63" t="s">
        <v>389</v>
      </c>
      <c r="C212" s="97" t="s">
        <v>390</v>
      </c>
      <c r="D212" s="97" t="s">
        <v>16</v>
      </c>
      <c r="E212" s="98">
        <v>0</v>
      </c>
      <c r="F212" s="99">
        <v>20.134</v>
      </c>
      <c r="G212" s="99">
        <v>0</v>
      </c>
      <c r="H212" s="98"/>
      <c r="I212" s="98"/>
      <c r="J212" s="117">
        <v>15</v>
      </c>
      <c r="K212" s="117">
        <v>9.9</v>
      </c>
      <c r="L212" s="118">
        <v>19</v>
      </c>
      <c r="M212" s="119" t="s">
        <v>374</v>
      </c>
      <c r="N212" s="120"/>
      <c r="O212" s="115">
        <f>66.559*4*2</f>
        <v>532.47199999999998</v>
      </c>
      <c r="P212" s="26">
        <f t="shared" si="3"/>
        <v>33.279338842975207</v>
      </c>
      <c r="Q212"/>
    </row>
    <row r="213" spans="2:21" ht="15.75">
      <c r="B213" s="63" t="s">
        <v>391</v>
      </c>
      <c r="C213" s="97" t="s">
        <v>392</v>
      </c>
      <c r="D213" s="97" t="s">
        <v>16</v>
      </c>
      <c r="E213" s="98">
        <v>0</v>
      </c>
      <c r="F213" s="99">
        <v>18.585999999999999</v>
      </c>
      <c r="G213" s="99">
        <v>0</v>
      </c>
      <c r="H213" s="98"/>
      <c r="I213" s="98"/>
      <c r="J213" s="117">
        <v>16.5</v>
      </c>
      <c r="K213" s="117">
        <v>9.9</v>
      </c>
      <c r="L213" s="118">
        <v>14</v>
      </c>
      <c r="M213" s="119" t="s">
        <v>374</v>
      </c>
      <c r="N213" s="120"/>
      <c r="O213" s="115">
        <f>61.441*4*2</f>
        <v>491.52800000000002</v>
      </c>
      <c r="P213" s="26">
        <f t="shared" si="3"/>
        <v>30.720661157024793</v>
      </c>
      <c r="Q213"/>
    </row>
    <row r="214" spans="2:21" ht="16.5" thickBot="1">
      <c r="B214" s="63" t="s">
        <v>393</v>
      </c>
      <c r="C214" s="97" t="s">
        <v>394</v>
      </c>
      <c r="D214" s="97" t="s">
        <v>16</v>
      </c>
      <c r="E214" s="98">
        <v>0</v>
      </c>
      <c r="F214" s="99">
        <v>3.0489999999999999</v>
      </c>
      <c r="G214" s="99">
        <v>0</v>
      </c>
      <c r="H214" s="98"/>
      <c r="I214" s="98"/>
      <c r="J214" s="117">
        <v>10</v>
      </c>
      <c r="K214" s="117">
        <v>5</v>
      </c>
      <c r="L214" s="118">
        <v>10</v>
      </c>
      <c r="M214" s="119" t="s">
        <v>374</v>
      </c>
      <c r="N214" s="120"/>
      <c r="O214" s="115">
        <v>183.04</v>
      </c>
      <c r="P214" s="27">
        <f t="shared" si="3"/>
        <v>5.039669421487603</v>
      </c>
      <c r="Q214"/>
    </row>
    <row r="215" spans="2:21" ht="16.5" thickBot="1">
      <c r="B215" s="126" t="s">
        <v>395</v>
      </c>
      <c r="C215" s="121" t="s">
        <v>396</v>
      </c>
      <c r="D215" s="122"/>
      <c r="E215" s="123"/>
      <c r="F215" s="124"/>
      <c r="G215" s="124"/>
      <c r="H215" s="123"/>
      <c r="I215" s="123"/>
      <c r="J215" s="129">
        <v>11.5</v>
      </c>
      <c r="K215" s="129">
        <v>5.9</v>
      </c>
      <c r="L215" s="130">
        <v>10</v>
      </c>
      <c r="M215" s="125" t="s">
        <v>374</v>
      </c>
      <c r="N215" s="127"/>
      <c r="O215" s="128">
        <v>81.73</v>
      </c>
      <c r="P215" s="7"/>
      <c r="Q215" s="8"/>
    </row>
    <row r="216" spans="2:21" ht="15.75">
      <c r="B216" s="140"/>
      <c r="C216" s="140"/>
      <c r="D216" s="141"/>
      <c r="E216" s="142"/>
      <c r="F216" s="143"/>
      <c r="G216" s="143"/>
      <c r="H216" s="142"/>
      <c r="I216" s="142"/>
      <c r="J216" s="144"/>
      <c r="K216" s="144"/>
      <c r="L216" s="145"/>
      <c r="M216" s="146"/>
      <c r="N216" s="147"/>
      <c r="O216" s="148"/>
      <c r="P216" s="7"/>
      <c r="Q216" s="8"/>
    </row>
    <row r="217" spans="2:21" ht="13.5" thickBot="1">
      <c r="B217" s="13"/>
      <c r="C217" s="13"/>
      <c r="D217" s="13" t="s">
        <v>16</v>
      </c>
      <c r="E217" s="1">
        <v>0</v>
      </c>
      <c r="F217" s="3">
        <v>32.911999999999999</v>
      </c>
      <c r="G217" s="3">
        <v>0</v>
      </c>
      <c r="H217" s="1"/>
      <c r="I217" s="1"/>
      <c r="J217" s="1"/>
      <c r="K217" s="1"/>
      <c r="L217" s="1"/>
      <c r="P217" s="7">
        <f t="shared" si="3"/>
        <v>54.4</v>
      </c>
      <c r="Q217" s="8"/>
    </row>
    <row r="218" spans="2:21" ht="12.75" customHeight="1">
      <c r="B218" s="385" t="s">
        <v>397</v>
      </c>
      <c r="C218" s="386"/>
      <c r="D218" s="386"/>
      <c r="E218" s="386"/>
      <c r="F218" s="386"/>
      <c r="G218" s="386"/>
      <c r="H218" s="386"/>
      <c r="I218" s="386"/>
      <c r="J218" s="386"/>
      <c r="K218" s="386"/>
      <c r="L218" s="386"/>
      <c r="M218" s="386"/>
      <c r="N218" s="386"/>
      <c r="O218" s="387"/>
      <c r="P218" s="32"/>
      <c r="Q218"/>
      <c r="R218" s="30"/>
    </row>
    <row r="219" spans="2:21" ht="12.75" customHeight="1">
      <c r="B219" s="388"/>
      <c r="C219" s="389"/>
      <c r="D219" s="389"/>
      <c r="E219" s="389"/>
      <c r="F219" s="389"/>
      <c r="G219" s="389"/>
      <c r="H219" s="389"/>
      <c r="I219" s="389"/>
      <c r="J219" s="389"/>
      <c r="K219" s="389"/>
      <c r="L219" s="389"/>
      <c r="M219" s="389"/>
      <c r="N219" s="389"/>
      <c r="O219" s="390"/>
      <c r="P219" s="33"/>
      <c r="Q219"/>
      <c r="R219" s="30"/>
    </row>
    <row r="220" spans="2:21" ht="30">
      <c r="B220" s="39" t="s">
        <v>6</v>
      </c>
      <c r="C220" s="42" t="s">
        <v>7</v>
      </c>
      <c r="D220" s="42"/>
      <c r="E220" s="76"/>
      <c r="F220" s="42"/>
      <c r="G220" s="42"/>
      <c r="H220" s="76"/>
      <c r="I220" s="76"/>
      <c r="J220" s="42" t="s">
        <v>8</v>
      </c>
      <c r="K220" s="42" t="s">
        <v>9</v>
      </c>
      <c r="L220" s="42" t="s">
        <v>337</v>
      </c>
      <c r="M220" s="42" t="s">
        <v>338</v>
      </c>
      <c r="N220" s="76"/>
      <c r="O220" s="75" t="s">
        <v>398</v>
      </c>
      <c r="P220" s="20">
        <f t="shared" si="3"/>
        <v>0</v>
      </c>
      <c r="Q220" s="31"/>
    </row>
    <row r="221" spans="2:21" ht="15.75">
      <c r="B221" s="39" t="s">
        <v>399</v>
      </c>
      <c r="C221" s="163" t="s">
        <v>400</v>
      </c>
      <c r="D221" s="163" t="s">
        <v>16</v>
      </c>
      <c r="E221" s="173">
        <v>3.54</v>
      </c>
      <c r="F221" s="174">
        <v>4.2830000000000004</v>
      </c>
      <c r="G221" s="174">
        <v>0</v>
      </c>
      <c r="H221" s="173"/>
      <c r="I221" s="173"/>
      <c r="J221" s="165">
        <v>11</v>
      </c>
      <c r="K221" s="165">
        <v>4.9000000000000004</v>
      </c>
      <c r="L221" s="185">
        <v>18</v>
      </c>
      <c r="M221" s="165" t="s">
        <v>374</v>
      </c>
      <c r="N221" s="164"/>
      <c r="O221" s="171">
        <f>14.159*4*2</f>
        <v>113.27200000000001</v>
      </c>
      <c r="P221" s="15">
        <f t="shared" si="3"/>
        <v>7.0793388429752078</v>
      </c>
      <c r="Q221"/>
    </row>
    <row r="222" spans="2:21" ht="15.75">
      <c r="B222" s="39" t="s">
        <v>401</v>
      </c>
      <c r="C222" s="163" t="s">
        <v>402</v>
      </c>
      <c r="D222" s="163" t="s">
        <v>16</v>
      </c>
      <c r="E222" s="173">
        <v>0</v>
      </c>
      <c r="F222" s="174">
        <v>3.5819999999999999</v>
      </c>
      <c r="G222" s="174">
        <v>0</v>
      </c>
      <c r="H222" s="173"/>
      <c r="I222" s="173"/>
      <c r="J222" s="165">
        <v>12.5</v>
      </c>
      <c r="K222" s="165">
        <v>5.9</v>
      </c>
      <c r="L222" s="185">
        <v>13</v>
      </c>
      <c r="M222" s="165" t="s">
        <v>374</v>
      </c>
      <c r="N222" s="164"/>
      <c r="O222" s="171">
        <f>11.841*4*2</f>
        <v>94.727999999999994</v>
      </c>
      <c r="P222" s="15">
        <f t="shared" si="3"/>
        <v>5.9206611570247931</v>
      </c>
      <c r="Q222"/>
      <c r="U222" t="s">
        <v>338</v>
      </c>
    </row>
    <row r="223" spans="2:21" ht="15.75">
      <c r="B223" s="39" t="s">
        <v>403</v>
      </c>
      <c r="C223" s="163" t="s">
        <v>404</v>
      </c>
      <c r="D223" s="163" t="s">
        <v>16</v>
      </c>
      <c r="E223" s="173">
        <v>0</v>
      </c>
      <c r="F223" s="174">
        <v>4.3079999999999998</v>
      </c>
      <c r="G223" s="174">
        <v>0</v>
      </c>
      <c r="H223" s="173"/>
      <c r="I223" s="173"/>
      <c r="J223" s="165">
        <v>12.5</v>
      </c>
      <c r="K223" s="165">
        <v>5.9</v>
      </c>
      <c r="L223" s="185">
        <v>18</v>
      </c>
      <c r="M223" s="165" t="s">
        <v>374</v>
      </c>
      <c r="N223" s="164"/>
      <c r="O223" s="171">
        <f>14.241*4*2</f>
        <v>113.928</v>
      </c>
      <c r="P223" s="15">
        <f t="shared" si="3"/>
        <v>7.1206611570247933</v>
      </c>
      <c r="Q223"/>
      <c r="R223" s="30"/>
    </row>
    <row r="224" spans="2:21" ht="15.75">
      <c r="B224" s="39" t="s">
        <v>405</v>
      </c>
      <c r="C224" s="163" t="s">
        <v>406</v>
      </c>
      <c r="D224" s="163" t="s">
        <v>16</v>
      </c>
      <c r="E224" s="173">
        <v>0</v>
      </c>
      <c r="F224" s="174">
        <v>4.7430000000000003</v>
      </c>
      <c r="G224" s="174">
        <v>0</v>
      </c>
      <c r="H224" s="173"/>
      <c r="I224" s="173"/>
      <c r="J224" s="165">
        <v>12.5</v>
      </c>
      <c r="K224" s="165">
        <v>5.9</v>
      </c>
      <c r="L224" s="185">
        <v>21</v>
      </c>
      <c r="M224" s="165" t="s">
        <v>374</v>
      </c>
      <c r="N224" s="164"/>
      <c r="O224" s="171">
        <f>15.679*4*2</f>
        <v>125.432</v>
      </c>
      <c r="P224" s="15">
        <f t="shared" si="3"/>
        <v>7.8396694214876037</v>
      </c>
      <c r="Q224"/>
    </row>
    <row r="225" spans="2:17" ht="15.75">
      <c r="B225" s="39" t="s">
        <v>407</v>
      </c>
      <c r="C225" s="163" t="s">
        <v>408</v>
      </c>
      <c r="D225" s="163" t="s">
        <v>16</v>
      </c>
      <c r="E225" s="173">
        <v>0</v>
      </c>
      <c r="F225" s="174">
        <v>4.4289999999999994</v>
      </c>
      <c r="G225" s="174">
        <v>0</v>
      </c>
      <c r="H225" s="173"/>
      <c r="I225" s="173"/>
      <c r="J225" s="165">
        <v>13.5</v>
      </c>
      <c r="K225" s="165">
        <v>6.9</v>
      </c>
      <c r="L225" s="185">
        <v>13</v>
      </c>
      <c r="M225" s="165" t="s">
        <v>374</v>
      </c>
      <c r="N225" s="164"/>
      <c r="O225" s="171">
        <f>14.641*4*2</f>
        <v>117.128</v>
      </c>
      <c r="P225" s="15">
        <f t="shared" si="3"/>
        <v>7.3206611570247926</v>
      </c>
      <c r="Q225"/>
    </row>
    <row r="226" spans="2:17" ht="15.75">
      <c r="B226" s="39" t="s">
        <v>409</v>
      </c>
      <c r="C226" s="163" t="s">
        <v>410</v>
      </c>
      <c r="D226" s="163" t="s">
        <v>16</v>
      </c>
      <c r="E226" s="173">
        <v>0</v>
      </c>
      <c r="F226" s="174">
        <v>4.9610000000000003</v>
      </c>
      <c r="G226" s="174">
        <v>0</v>
      </c>
      <c r="H226" s="173"/>
      <c r="I226" s="173"/>
      <c r="J226" s="165">
        <v>13.5</v>
      </c>
      <c r="K226" s="165">
        <v>6.9</v>
      </c>
      <c r="L226" s="185">
        <v>16</v>
      </c>
      <c r="M226" s="165" t="s">
        <v>374</v>
      </c>
      <c r="N226" s="164"/>
      <c r="O226" s="171">
        <f>16.4*4*2</f>
        <v>131.19999999999999</v>
      </c>
      <c r="P226" s="15">
        <f t="shared" si="3"/>
        <v>8.2000000000000011</v>
      </c>
      <c r="Q226"/>
    </row>
    <row r="227" spans="2:17" ht="15.75">
      <c r="B227" s="39" t="s">
        <v>411</v>
      </c>
      <c r="C227" s="163" t="s">
        <v>412</v>
      </c>
      <c r="D227" s="163" t="s">
        <v>16</v>
      </c>
      <c r="E227" s="173">
        <v>0</v>
      </c>
      <c r="F227" s="174">
        <v>5.3479999999999999</v>
      </c>
      <c r="G227" s="174">
        <v>0</v>
      </c>
      <c r="H227" s="173"/>
      <c r="I227" s="173"/>
      <c r="J227" s="165">
        <v>13.5</v>
      </c>
      <c r="K227" s="165">
        <v>6.9</v>
      </c>
      <c r="L227" s="185">
        <v>18</v>
      </c>
      <c r="M227" s="165" t="s">
        <v>374</v>
      </c>
      <c r="N227" s="164"/>
      <c r="O227" s="171">
        <f>PRODUCT(17.7)*4*2</f>
        <v>141.6</v>
      </c>
      <c r="P227" s="15">
        <f t="shared" si="3"/>
        <v>8.8396694214876028</v>
      </c>
      <c r="Q227"/>
    </row>
    <row r="228" spans="2:17" ht="15.75">
      <c r="B228" s="39" t="s">
        <v>413</v>
      </c>
      <c r="C228" s="163" t="s">
        <v>414</v>
      </c>
      <c r="D228" s="163" t="s">
        <v>16</v>
      </c>
      <c r="E228" s="173">
        <v>0</v>
      </c>
      <c r="F228" s="174">
        <v>5.7110000000000003</v>
      </c>
      <c r="G228" s="174">
        <v>0</v>
      </c>
      <c r="H228" s="173"/>
      <c r="I228" s="173"/>
      <c r="J228" s="165">
        <v>13.5</v>
      </c>
      <c r="K228" s="165">
        <v>6.9</v>
      </c>
      <c r="L228" s="185">
        <v>20</v>
      </c>
      <c r="M228" s="165" t="s">
        <v>374</v>
      </c>
      <c r="N228" s="164"/>
      <c r="O228" s="171">
        <f>18.879*4*2</f>
        <v>151.03200000000001</v>
      </c>
      <c r="P228" s="15">
        <f t="shared" si="3"/>
        <v>9.4396694214876042</v>
      </c>
      <c r="Q228"/>
    </row>
    <row r="229" spans="2:17" ht="15.75">
      <c r="B229" s="39" t="s">
        <v>415</v>
      </c>
      <c r="C229" s="163" t="s">
        <v>357</v>
      </c>
      <c r="D229" s="163" t="s">
        <v>16</v>
      </c>
      <c r="E229" s="173">
        <v>0</v>
      </c>
      <c r="F229" s="174">
        <v>6.3159999999999998</v>
      </c>
      <c r="G229" s="174">
        <v>0</v>
      </c>
      <c r="H229" s="173"/>
      <c r="I229" s="173"/>
      <c r="J229" s="165">
        <v>15</v>
      </c>
      <c r="K229" s="165">
        <v>7.9</v>
      </c>
      <c r="L229" s="185">
        <v>14.5</v>
      </c>
      <c r="M229" s="165" t="s">
        <v>374</v>
      </c>
      <c r="N229" s="164"/>
      <c r="O229" s="171">
        <v>167.04</v>
      </c>
      <c r="P229" s="15">
        <f t="shared" si="3"/>
        <v>10.439669421487602</v>
      </c>
      <c r="Q229"/>
    </row>
    <row r="230" spans="2:17" ht="15.75">
      <c r="B230" s="39" t="s">
        <v>416</v>
      </c>
      <c r="C230" s="163" t="s">
        <v>417</v>
      </c>
      <c r="D230" s="163" t="s">
        <v>16</v>
      </c>
      <c r="E230" s="173">
        <v>0</v>
      </c>
      <c r="F230" s="174">
        <v>7.1629999999999994</v>
      </c>
      <c r="G230" s="174">
        <v>0</v>
      </c>
      <c r="H230" s="173"/>
      <c r="I230" s="173"/>
      <c r="J230" s="165">
        <v>15</v>
      </c>
      <c r="K230" s="165">
        <v>7.9</v>
      </c>
      <c r="L230" s="185">
        <v>18</v>
      </c>
      <c r="M230" s="165" t="s">
        <v>374</v>
      </c>
      <c r="N230" s="164"/>
      <c r="O230" s="171">
        <f>23.679*4*2</f>
        <v>189.43199999999999</v>
      </c>
      <c r="P230" s="15">
        <f t="shared" si="3"/>
        <v>11.839669421487603</v>
      </c>
      <c r="Q230"/>
    </row>
    <row r="231" spans="2:17" ht="15.75">
      <c r="B231" s="39" t="s">
        <v>418</v>
      </c>
      <c r="C231" s="163" t="s">
        <v>419</v>
      </c>
      <c r="D231" s="163" t="s">
        <v>16</v>
      </c>
      <c r="E231" s="173">
        <v>0</v>
      </c>
      <c r="F231" s="174">
        <v>7.9129999999999994</v>
      </c>
      <c r="G231" s="174">
        <v>0</v>
      </c>
      <c r="H231" s="173"/>
      <c r="I231" s="173"/>
      <c r="J231" s="165">
        <v>15</v>
      </c>
      <c r="K231" s="165">
        <v>7.9</v>
      </c>
      <c r="L231" s="185">
        <v>21</v>
      </c>
      <c r="M231" s="165" t="s">
        <v>374</v>
      </c>
      <c r="N231" s="164"/>
      <c r="O231" s="171">
        <f>26.159*4*2</f>
        <v>209.27199999999999</v>
      </c>
      <c r="P231" s="15">
        <f t="shared" si="3"/>
        <v>13.079338842975206</v>
      </c>
      <c r="Q231"/>
    </row>
    <row r="232" spans="2:17" ht="15.75">
      <c r="B232" s="39" t="s">
        <v>420</v>
      </c>
      <c r="C232" s="163" t="s">
        <v>421</v>
      </c>
      <c r="D232" s="163" t="s">
        <v>16</v>
      </c>
      <c r="E232" s="173">
        <v>0</v>
      </c>
      <c r="F232" s="174">
        <v>8.9060000000000006</v>
      </c>
      <c r="G232" s="174">
        <v>0</v>
      </c>
      <c r="H232" s="173"/>
      <c r="I232" s="173"/>
      <c r="J232" s="165">
        <v>15</v>
      </c>
      <c r="K232" s="165">
        <v>7.9</v>
      </c>
      <c r="L232" s="185">
        <v>25</v>
      </c>
      <c r="M232" s="165" t="s">
        <v>374</v>
      </c>
      <c r="N232" s="164"/>
      <c r="O232" s="171">
        <f>29.441*4*2</f>
        <v>235.52799999999999</v>
      </c>
      <c r="P232" s="15">
        <f t="shared" si="3"/>
        <v>14.720661157024795</v>
      </c>
      <c r="Q232"/>
    </row>
    <row r="233" spans="2:17" ht="15.75">
      <c r="B233" s="39" t="s">
        <v>422</v>
      </c>
      <c r="C233" s="163" t="s">
        <v>423</v>
      </c>
      <c r="D233" s="163" t="s">
        <v>16</v>
      </c>
      <c r="E233" s="173">
        <v>0</v>
      </c>
      <c r="F233" s="174">
        <v>9.8740000000000006</v>
      </c>
      <c r="G233" s="174">
        <v>0</v>
      </c>
      <c r="H233" s="173"/>
      <c r="I233" s="173"/>
      <c r="J233" s="165">
        <v>15</v>
      </c>
      <c r="K233" s="165">
        <v>7.9</v>
      </c>
      <c r="L233" s="185">
        <v>29</v>
      </c>
      <c r="M233" s="165" t="s">
        <v>374</v>
      </c>
      <c r="N233" s="164"/>
      <c r="O233" s="171">
        <v>261.14</v>
      </c>
      <c r="P233" s="15">
        <f t="shared" si="3"/>
        <v>16.320661157024794</v>
      </c>
      <c r="Q233"/>
    </row>
    <row r="234" spans="2:17" ht="15.75">
      <c r="B234" s="39" t="s">
        <v>424</v>
      </c>
      <c r="C234" s="163" t="s">
        <v>425</v>
      </c>
      <c r="D234" s="163" t="s">
        <v>16</v>
      </c>
      <c r="E234" s="173">
        <v>0</v>
      </c>
      <c r="F234" s="174">
        <v>10.648</v>
      </c>
      <c r="G234" s="174">
        <v>0</v>
      </c>
      <c r="H234" s="173"/>
      <c r="I234" s="173"/>
      <c r="J234" s="165">
        <v>15</v>
      </c>
      <c r="K234" s="165">
        <v>7.9</v>
      </c>
      <c r="L234" s="185">
        <v>32</v>
      </c>
      <c r="M234" s="165" t="s">
        <v>374</v>
      </c>
      <c r="N234" s="164"/>
      <c r="O234" s="171">
        <f>35.2*4*2</f>
        <v>281.60000000000002</v>
      </c>
      <c r="P234" s="15">
        <f t="shared" si="3"/>
        <v>17.600000000000001</v>
      </c>
      <c r="Q234"/>
    </row>
    <row r="235" spans="2:17" ht="15.75">
      <c r="B235" s="39" t="s">
        <v>426</v>
      </c>
      <c r="C235" s="163" t="s">
        <v>427</v>
      </c>
      <c r="D235" s="163" t="s">
        <v>16</v>
      </c>
      <c r="E235" s="173">
        <v>0</v>
      </c>
      <c r="F235" s="174">
        <v>8.4220000000000006</v>
      </c>
      <c r="G235" s="174">
        <v>0</v>
      </c>
      <c r="H235" s="173"/>
      <c r="I235" s="173"/>
      <c r="J235" s="165">
        <v>15</v>
      </c>
      <c r="K235" s="165">
        <v>8.3000000000000007</v>
      </c>
      <c r="L235" s="185">
        <v>22</v>
      </c>
      <c r="M235" s="165" t="s">
        <v>374</v>
      </c>
      <c r="N235" s="164"/>
      <c r="O235" s="171">
        <f>27.841*4*2</f>
        <v>222.72800000000001</v>
      </c>
      <c r="P235" s="15">
        <f t="shared" si="3"/>
        <v>13.920661157024794</v>
      </c>
      <c r="Q235"/>
    </row>
    <row r="236" spans="2:17" ht="15.75">
      <c r="B236" s="39" t="s">
        <v>428</v>
      </c>
      <c r="C236" s="163" t="s">
        <v>429</v>
      </c>
      <c r="D236" s="163" t="s">
        <v>16</v>
      </c>
      <c r="E236" s="173">
        <v>0</v>
      </c>
      <c r="F236" s="174">
        <v>9.1959999999999997</v>
      </c>
      <c r="G236" s="174">
        <v>0</v>
      </c>
      <c r="H236" s="173"/>
      <c r="I236" s="173"/>
      <c r="J236" s="165">
        <v>15</v>
      </c>
      <c r="K236" s="165">
        <v>8.3000000000000007</v>
      </c>
      <c r="L236" s="185">
        <v>25</v>
      </c>
      <c r="M236" s="165" t="s">
        <v>374</v>
      </c>
      <c r="N236" s="164"/>
      <c r="O236" s="171">
        <f>30.4*4*2</f>
        <v>243.2</v>
      </c>
      <c r="P236" s="15">
        <f t="shared" si="3"/>
        <v>15.2</v>
      </c>
      <c r="Q236"/>
    </row>
    <row r="237" spans="2:17" ht="15.75">
      <c r="B237" s="39" t="s">
        <v>430</v>
      </c>
      <c r="C237" s="163" t="s">
        <v>431</v>
      </c>
      <c r="D237" s="163" t="s">
        <v>16</v>
      </c>
      <c r="E237" s="173">
        <v>0</v>
      </c>
      <c r="F237" s="174">
        <v>25.555</v>
      </c>
      <c r="G237" s="174">
        <v>0</v>
      </c>
      <c r="H237" s="173"/>
      <c r="I237" s="173"/>
      <c r="J237" s="165">
        <v>16.5</v>
      </c>
      <c r="K237" s="165">
        <v>9.9</v>
      </c>
      <c r="L237" s="185">
        <v>25</v>
      </c>
      <c r="M237" s="165" t="s">
        <v>374</v>
      </c>
      <c r="N237" s="164"/>
      <c r="O237" s="171">
        <f>84.479*4*2</f>
        <v>675.83199999999999</v>
      </c>
      <c r="P237" s="15">
        <f t="shared" si="3"/>
        <v>42.239669421487605</v>
      </c>
      <c r="Q237"/>
    </row>
    <row r="238" spans="2:17" ht="15.75">
      <c r="B238" s="39" t="s">
        <v>432</v>
      </c>
      <c r="C238" s="163" t="s">
        <v>433</v>
      </c>
      <c r="D238" s="163" t="s">
        <v>16</v>
      </c>
      <c r="E238" s="173">
        <v>0</v>
      </c>
      <c r="F238" s="174">
        <v>30.975999999999999</v>
      </c>
      <c r="G238" s="174">
        <v>0</v>
      </c>
      <c r="H238" s="173"/>
      <c r="I238" s="173"/>
      <c r="J238" s="165">
        <v>17.5</v>
      </c>
      <c r="K238" s="165">
        <v>11.8</v>
      </c>
      <c r="L238" s="185">
        <v>25.5</v>
      </c>
      <c r="M238" s="165" t="s">
        <v>374</v>
      </c>
      <c r="N238" s="164"/>
      <c r="O238" s="171">
        <f>102.4*4*2</f>
        <v>819.2</v>
      </c>
      <c r="P238" s="15">
        <f t="shared" si="3"/>
        <v>51.2</v>
      </c>
      <c r="Q238"/>
    </row>
    <row r="239" spans="2:17" ht="15.75">
      <c r="B239" s="39" t="s">
        <v>434</v>
      </c>
      <c r="C239" s="163" t="s">
        <v>435</v>
      </c>
      <c r="D239" s="163" t="s">
        <v>16</v>
      </c>
      <c r="E239" s="173">
        <v>0</v>
      </c>
      <c r="F239" s="174">
        <v>2.6860000000000004</v>
      </c>
      <c r="G239" s="174">
        <v>0</v>
      </c>
      <c r="H239" s="173"/>
      <c r="I239" s="173"/>
      <c r="J239" s="165">
        <v>10</v>
      </c>
      <c r="K239" s="165">
        <v>4.9000000000000004</v>
      </c>
      <c r="L239" s="185">
        <v>13</v>
      </c>
      <c r="M239" s="165" t="s">
        <v>341</v>
      </c>
      <c r="N239" s="164"/>
      <c r="O239" s="171">
        <f>8.879*4*2</f>
        <v>71.031999999999996</v>
      </c>
      <c r="P239" s="15">
        <f t="shared" si="3"/>
        <v>4.4396694214876042</v>
      </c>
      <c r="Q239"/>
    </row>
    <row r="240" spans="2:17" ht="15.75">
      <c r="B240" s="39" t="s">
        <v>436</v>
      </c>
      <c r="C240" s="163" t="s">
        <v>437</v>
      </c>
      <c r="D240" s="163" t="s">
        <v>16</v>
      </c>
      <c r="E240" s="173">
        <v>0</v>
      </c>
      <c r="F240" s="174">
        <v>2.9039999999999999</v>
      </c>
      <c r="G240" s="174">
        <v>0</v>
      </c>
      <c r="H240" s="173"/>
      <c r="I240" s="173"/>
      <c r="J240" s="165">
        <v>10</v>
      </c>
      <c r="K240" s="165">
        <v>4.9000000000000004</v>
      </c>
      <c r="L240" s="185">
        <v>16</v>
      </c>
      <c r="M240" s="165" t="s">
        <v>341</v>
      </c>
      <c r="N240" s="164"/>
      <c r="O240" s="171">
        <f>9.6*4*2</f>
        <v>76.8</v>
      </c>
      <c r="P240" s="15">
        <f t="shared" si="3"/>
        <v>4.8</v>
      </c>
      <c r="Q240"/>
    </row>
    <row r="241" spans="2:17" ht="15.75">
      <c r="B241" s="39" t="s">
        <v>438</v>
      </c>
      <c r="C241" s="163" t="s">
        <v>439</v>
      </c>
      <c r="D241" s="163" t="s">
        <v>16</v>
      </c>
      <c r="E241" s="173">
        <v>0</v>
      </c>
      <c r="F241" s="174">
        <v>3.8719999999999999</v>
      </c>
      <c r="G241" s="174">
        <v>0</v>
      </c>
      <c r="H241" s="173"/>
      <c r="I241" s="173"/>
      <c r="J241" s="165">
        <v>9</v>
      </c>
      <c r="K241" s="165">
        <v>5.9</v>
      </c>
      <c r="L241" s="185">
        <v>13</v>
      </c>
      <c r="M241" s="165" t="s">
        <v>374</v>
      </c>
      <c r="N241" s="164"/>
      <c r="O241" s="171">
        <f>12.8*4*2</f>
        <v>102.4</v>
      </c>
      <c r="P241" s="15">
        <f t="shared" si="3"/>
        <v>6.4</v>
      </c>
      <c r="Q241"/>
    </row>
    <row r="242" spans="2:17" ht="15.75">
      <c r="B242" s="39" t="s">
        <v>440</v>
      </c>
      <c r="C242" s="163" t="s">
        <v>441</v>
      </c>
      <c r="D242" s="163" t="s">
        <v>16</v>
      </c>
      <c r="E242" s="173">
        <v>0</v>
      </c>
      <c r="F242" s="174">
        <v>4.4289999999999994</v>
      </c>
      <c r="G242" s="174">
        <v>0</v>
      </c>
      <c r="H242" s="173"/>
      <c r="I242" s="173"/>
      <c r="J242" s="165">
        <v>9.5</v>
      </c>
      <c r="K242" s="165">
        <v>6.9</v>
      </c>
      <c r="L242" s="185">
        <v>13</v>
      </c>
      <c r="M242" s="165" t="s">
        <v>374</v>
      </c>
      <c r="N242" s="164"/>
      <c r="O242" s="171">
        <f>14.641*4*2</f>
        <v>117.128</v>
      </c>
      <c r="P242" s="15">
        <f t="shared" si="3"/>
        <v>7.3206611570247926</v>
      </c>
      <c r="Q242"/>
    </row>
    <row r="243" spans="2:17" ht="15.75">
      <c r="B243" s="39" t="s">
        <v>442</v>
      </c>
      <c r="C243" s="163" t="s">
        <v>443</v>
      </c>
      <c r="D243" s="163" t="s">
        <v>16</v>
      </c>
      <c r="E243" s="173">
        <v>0</v>
      </c>
      <c r="F243" s="174">
        <v>4.3079999999999998</v>
      </c>
      <c r="G243" s="174">
        <v>0</v>
      </c>
      <c r="H243" s="173"/>
      <c r="I243" s="173"/>
      <c r="J243" s="165">
        <v>9</v>
      </c>
      <c r="K243" s="165">
        <v>5.9</v>
      </c>
      <c r="L243" s="185">
        <v>18</v>
      </c>
      <c r="M243" s="165" t="s">
        <v>374</v>
      </c>
      <c r="N243" s="164"/>
      <c r="O243" s="171">
        <f>14.241*4*2</f>
        <v>113.928</v>
      </c>
      <c r="P243" s="15">
        <f t="shared" si="3"/>
        <v>7.1206611570247933</v>
      </c>
      <c r="Q243"/>
    </row>
    <row r="244" spans="2:17" ht="15.75">
      <c r="B244" s="39" t="s">
        <v>444</v>
      </c>
      <c r="C244" s="163" t="s">
        <v>445</v>
      </c>
      <c r="D244" s="163" t="s">
        <v>16</v>
      </c>
      <c r="E244" s="173">
        <v>0</v>
      </c>
      <c r="F244" s="174">
        <v>4.4530000000000003</v>
      </c>
      <c r="G244" s="174">
        <v>0</v>
      </c>
      <c r="H244" s="173"/>
      <c r="I244" s="173"/>
      <c r="J244" s="165">
        <v>14</v>
      </c>
      <c r="K244" s="165">
        <v>6.9</v>
      </c>
      <c r="L244" s="185">
        <v>13</v>
      </c>
      <c r="M244" s="165" t="s">
        <v>374</v>
      </c>
      <c r="N244" s="164"/>
      <c r="O244" s="171">
        <f>14.721*4*2</f>
        <v>117.768</v>
      </c>
      <c r="P244" s="15">
        <f t="shared" si="3"/>
        <v>7.3603305785123974</v>
      </c>
      <c r="Q244"/>
    </row>
    <row r="245" spans="2:17" ht="15.75">
      <c r="B245" s="39" t="s">
        <v>446</v>
      </c>
      <c r="C245" s="163" t="s">
        <v>447</v>
      </c>
      <c r="D245" s="163" t="s">
        <v>16</v>
      </c>
      <c r="E245" s="173">
        <v>0</v>
      </c>
      <c r="F245" s="174">
        <v>4.4289999999999994</v>
      </c>
      <c r="G245" s="174">
        <v>0</v>
      </c>
      <c r="H245" s="173"/>
      <c r="I245" s="173"/>
      <c r="J245" s="165">
        <v>13.5</v>
      </c>
      <c r="K245" s="165">
        <v>6.9</v>
      </c>
      <c r="L245" s="185">
        <v>12</v>
      </c>
      <c r="M245" s="165" t="s">
        <v>374</v>
      </c>
      <c r="N245" s="164"/>
      <c r="O245" s="171">
        <f>14.641*4*2</f>
        <v>117.128</v>
      </c>
      <c r="P245" s="15">
        <f t="shared" si="3"/>
        <v>7.3206611570247926</v>
      </c>
      <c r="Q245"/>
    </row>
    <row r="246" spans="2:17" ht="15.75">
      <c r="B246" s="39" t="s">
        <v>448</v>
      </c>
      <c r="C246" s="163" t="s">
        <v>449</v>
      </c>
      <c r="D246" s="163" t="s">
        <v>16</v>
      </c>
      <c r="E246" s="173">
        <v>0</v>
      </c>
      <c r="F246" s="174">
        <v>4.5979999999999999</v>
      </c>
      <c r="G246" s="174">
        <v>0</v>
      </c>
      <c r="H246" s="173"/>
      <c r="I246" s="173"/>
      <c r="J246" s="165">
        <v>13.5</v>
      </c>
      <c r="K246" s="165">
        <v>6.9</v>
      </c>
      <c r="L246" s="185">
        <v>14</v>
      </c>
      <c r="M246" s="165" t="s">
        <v>374</v>
      </c>
      <c r="N246" s="164"/>
      <c r="O246" s="171">
        <f>15.2*4*2</f>
        <v>121.6</v>
      </c>
      <c r="P246" s="15">
        <f t="shared" si="3"/>
        <v>7.6</v>
      </c>
      <c r="Q246"/>
    </row>
    <row r="247" spans="2:17" ht="15.75">
      <c r="B247" s="39" t="s">
        <v>450</v>
      </c>
      <c r="C247" s="163" t="s">
        <v>451</v>
      </c>
      <c r="D247" s="163" t="s">
        <v>16</v>
      </c>
      <c r="E247" s="173">
        <v>0</v>
      </c>
      <c r="F247" s="174">
        <v>4.7430000000000003</v>
      </c>
      <c r="G247" s="174">
        <v>0</v>
      </c>
      <c r="H247" s="173"/>
      <c r="I247" s="173"/>
      <c r="J247" s="165">
        <v>13.5</v>
      </c>
      <c r="K247" s="165">
        <v>6.9</v>
      </c>
      <c r="L247" s="185">
        <v>15</v>
      </c>
      <c r="M247" s="165" t="s">
        <v>374</v>
      </c>
      <c r="N247" s="164"/>
      <c r="O247" s="171">
        <f>15.679*4*2</f>
        <v>125.432</v>
      </c>
      <c r="P247" s="15">
        <f t="shared" si="3"/>
        <v>7.8396694214876037</v>
      </c>
      <c r="Q247"/>
    </row>
    <row r="248" spans="2:17" ht="15.75">
      <c r="B248" s="39" t="s">
        <v>452</v>
      </c>
      <c r="C248" s="163" t="s">
        <v>453</v>
      </c>
      <c r="D248" s="163" t="s">
        <v>16</v>
      </c>
      <c r="E248" s="173">
        <v>0</v>
      </c>
      <c r="F248" s="174">
        <v>5.0339999999999998</v>
      </c>
      <c r="G248" s="174">
        <v>0</v>
      </c>
      <c r="H248" s="173"/>
      <c r="I248" s="173"/>
      <c r="J248" s="165">
        <v>13.5</v>
      </c>
      <c r="K248" s="165">
        <v>6.9</v>
      </c>
      <c r="L248" s="185">
        <v>17</v>
      </c>
      <c r="M248" s="165" t="s">
        <v>374</v>
      </c>
      <c r="N248" s="164"/>
      <c r="O248" s="171">
        <f>16.641*4*2</f>
        <v>133.12799999999999</v>
      </c>
      <c r="P248" s="15">
        <f t="shared" si="3"/>
        <v>8.3206611570247926</v>
      </c>
      <c r="Q248"/>
    </row>
    <row r="249" spans="2:17" ht="15.75">
      <c r="B249" s="39" t="s">
        <v>454</v>
      </c>
      <c r="C249" s="163" t="s">
        <v>455</v>
      </c>
      <c r="D249" s="163" t="s">
        <v>16</v>
      </c>
      <c r="E249" s="173">
        <v>3.88</v>
      </c>
      <c r="F249" s="174">
        <v>4.6950000000000003</v>
      </c>
      <c r="G249" s="174">
        <v>0</v>
      </c>
      <c r="H249" s="173"/>
      <c r="I249" s="173"/>
      <c r="J249" s="165">
        <v>12.5</v>
      </c>
      <c r="K249" s="165">
        <v>5.9</v>
      </c>
      <c r="L249" s="185">
        <v>16</v>
      </c>
      <c r="M249" s="165" t="s">
        <v>374</v>
      </c>
      <c r="N249" s="164"/>
      <c r="O249" s="171">
        <f>15.521*4*2</f>
        <v>124.16800000000001</v>
      </c>
      <c r="P249" s="15">
        <f t="shared" si="3"/>
        <v>7.7603305785123977</v>
      </c>
      <c r="Q249"/>
    </row>
    <row r="250" spans="2:17" ht="15.75">
      <c r="B250" s="39" t="s">
        <v>456</v>
      </c>
      <c r="C250" s="163" t="s">
        <v>457</v>
      </c>
      <c r="D250" s="163" t="s">
        <v>16</v>
      </c>
      <c r="E250" s="173">
        <v>0</v>
      </c>
      <c r="F250" s="174">
        <v>5.2270000000000003</v>
      </c>
      <c r="G250" s="174">
        <v>0</v>
      </c>
      <c r="H250" s="173"/>
      <c r="I250" s="173"/>
      <c r="J250" s="165">
        <v>9</v>
      </c>
      <c r="K250" s="165">
        <v>6.9</v>
      </c>
      <c r="L250" s="185">
        <v>16</v>
      </c>
      <c r="M250" s="165" t="s">
        <v>374</v>
      </c>
      <c r="N250" s="164"/>
      <c r="O250" s="171">
        <f>17.279*4*2</f>
        <v>138.232</v>
      </c>
      <c r="P250" s="15">
        <f t="shared" si="3"/>
        <v>8.6396694214876035</v>
      </c>
      <c r="Q250"/>
    </row>
    <row r="251" spans="2:17" ht="15.75">
      <c r="B251" s="39" t="s">
        <v>458</v>
      </c>
      <c r="C251" s="163" t="s">
        <v>459</v>
      </c>
      <c r="D251" s="163" t="s">
        <v>16</v>
      </c>
      <c r="E251" s="173">
        <v>0</v>
      </c>
      <c r="F251" s="174">
        <v>5.8079999999999998</v>
      </c>
      <c r="G251" s="174">
        <v>0</v>
      </c>
      <c r="H251" s="173"/>
      <c r="I251" s="173"/>
      <c r="J251" s="165">
        <v>10</v>
      </c>
      <c r="K251" s="165">
        <v>4.9000000000000004</v>
      </c>
      <c r="L251" s="185">
        <v>14</v>
      </c>
      <c r="M251" s="165" t="s">
        <v>374</v>
      </c>
      <c r="N251" s="164"/>
      <c r="O251" s="171">
        <v>199.68</v>
      </c>
      <c r="P251" s="15">
        <f t="shared" si="3"/>
        <v>9.6</v>
      </c>
      <c r="Q251"/>
    </row>
    <row r="252" spans="2:17" ht="15.75">
      <c r="B252" s="39" t="s">
        <v>460</v>
      </c>
      <c r="C252" s="163" t="s">
        <v>461</v>
      </c>
      <c r="D252" s="163" t="s">
        <v>16</v>
      </c>
      <c r="E252" s="173">
        <v>0</v>
      </c>
      <c r="F252" s="174">
        <v>6.7759999999999998</v>
      </c>
      <c r="G252" s="174">
        <v>0</v>
      </c>
      <c r="H252" s="173"/>
      <c r="I252" s="173"/>
      <c r="J252" s="165">
        <v>12</v>
      </c>
      <c r="K252" s="165">
        <v>8.3000000000000007</v>
      </c>
      <c r="L252" s="185">
        <v>16</v>
      </c>
      <c r="M252" s="165" t="s">
        <v>374</v>
      </c>
      <c r="N252" s="164"/>
      <c r="O252" s="171">
        <f>22.4*4*2</f>
        <v>179.2</v>
      </c>
      <c r="P252" s="15">
        <f t="shared" si="3"/>
        <v>11.2</v>
      </c>
      <c r="Q252"/>
    </row>
    <row r="253" spans="2:17" ht="15.75">
      <c r="B253" s="39" t="s">
        <v>462</v>
      </c>
      <c r="C253" s="163" t="s">
        <v>463</v>
      </c>
      <c r="D253" s="163" t="s">
        <v>16</v>
      </c>
      <c r="E253" s="173">
        <v>0</v>
      </c>
      <c r="F253" s="174">
        <v>4.3079999999999998</v>
      </c>
      <c r="G253" s="174">
        <v>0</v>
      </c>
      <c r="H253" s="173"/>
      <c r="I253" s="173"/>
      <c r="J253" s="165">
        <v>9</v>
      </c>
      <c r="K253" s="165">
        <v>5.9</v>
      </c>
      <c r="L253" s="185">
        <v>14.5</v>
      </c>
      <c r="M253" s="165" t="s">
        <v>374</v>
      </c>
      <c r="N253" s="164"/>
      <c r="O253" s="171">
        <f>14.241*4*2</f>
        <v>113.928</v>
      </c>
      <c r="P253" s="15">
        <f t="shared" si="3"/>
        <v>7.1206611570247933</v>
      </c>
      <c r="Q253"/>
    </row>
    <row r="254" spans="2:17" ht="15.75">
      <c r="B254" s="39" t="s">
        <v>464</v>
      </c>
      <c r="C254" s="163" t="s">
        <v>465</v>
      </c>
      <c r="D254" s="163" t="s">
        <v>16</v>
      </c>
      <c r="E254" s="173">
        <v>0</v>
      </c>
      <c r="F254" s="174">
        <v>7.9129999999999994</v>
      </c>
      <c r="G254" s="174">
        <v>0</v>
      </c>
      <c r="H254" s="173"/>
      <c r="I254" s="173"/>
      <c r="J254" s="165">
        <v>13</v>
      </c>
      <c r="K254" s="165">
        <v>7.9</v>
      </c>
      <c r="L254" s="185">
        <v>21</v>
      </c>
      <c r="M254" s="165" t="s">
        <v>374</v>
      </c>
      <c r="N254" s="164"/>
      <c r="O254" s="171">
        <f>26.159*4*2</f>
        <v>209.27199999999999</v>
      </c>
      <c r="P254" s="15">
        <f t="shared" si="3"/>
        <v>13.079338842975206</v>
      </c>
      <c r="Q254"/>
    </row>
    <row r="255" spans="2:17" ht="15.75">
      <c r="B255" s="39" t="s">
        <v>466</v>
      </c>
      <c r="C255" s="163" t="s">
        <v>467</v>
      </c>
      <c r="D255" s="163" t="s">
        <v>16</v>
      </c>
      <c r="E255" s="173">
        <v>0</v>
      </c>
      <c r="F255" s="174">
        <v>7.1150000000000002</v>
      </c>
      <c r="G255" s="174">
        <v>0</v>
      </c>
      <c r="H255" s="173"/>
      <c r="I255" s="173"/>
      <c r="J255" s="165">
        <v>13</v>
      </c>
      <c r="K255" s="165">
        <v>7.9</v>
      </c>
      <c r="L255" s="185">
        <v>17</v>
      </c>
      <c r="M255" s="165" t="s">
        <v>374</v>
      </c>
      <c r="N255" s="164"/>
      <c r="O255" s="171">
        <v>188.16</v>
      </c>
      <c r="P255" s="15">
        <f t="shared" si="3"/>
        <v>11.760330578512397</v>
      </c>
      <c r="Q255"/>
    </row>
    <row r="256" spans="2:17" ht="15.75">
      <c r="B256" s="39" t="s">
        <v>468</v>
      </c>
      <c r="C256" s="163" t="s">
        <v>469</v>
      </c>
      <c r="D256" s="163" t="s">
        <v>16</v>
      </c>
      <c r="E256" s="173">
        <v>0</v>
      </c>
      <c r="F256" s="174">
        <v>8.2279999999999998</v>
      </c>
      <c r="G256" s="174">
        <v>0</v>
      </c>
      <c r="H256" s="173"/>
      <c r="I256" s="173"/>
      <c r="J256" s="165">
        <v>13</v>
      </c>
      <c r="K256" s="165">
        <v>7.9</v>
      </c>
      <c r="L256" s="185">
        <v>19</v>
      </c>
      <c r="M256" s="165" t="s">
        <v>374</v>
      </c>
      <c r="N256" s="164"/>
      <c r="O256" s="171">
        <v>194.56</v>
      </c>
      <c r="P256" s="15">
        <f t="shared" si="3"/>
        <v>13.6</v>
      </c>
      <c r="Q256"/>
    </row>
    <row r="257" spans="2:17" ht="15.75">
      <c r="B257" s="39" t="s">
        <v>470</v>
      </c>
      <c r="C257" s="163" t="s">
        <v>471</v>
      </c>
      <c r="D257" s="163" t="s">
        <v>16</v>
      </c>
      <c r="E257" s="173">
        <v>0</v>
      </c>
      <c r="F257" s="174">
        <v>29.04</v>
      </c>
      <c r="G257" s="174">
        <v>0</v>
      </c>
      <c r="H257" s="173"/>
      <c r="I257" s="173"/>
      <c r="J257" s="165">
        <v>15</v>
      </c>
      <c r="K257" s="165">
        <v>9.9</v>
      </c>
      <c r="L257" s="185">
        <v>32</v>
      </c>
      <c r="M257" s="165" t="s">
        <v>374</v>
      </c>
      <c r="N257" s="164"/>
      <c r="O257" s="171">
        <f>96*4*2</f>
        <v>768</v>
      </c>
      <c r="P257" s="15">
        <f t="shared" ref="P257:P284" si="4">+(F257/1.21)*2</f>
        <v>48</v>
      </c>
      <c r="Q257"/>
    </row>
    <row r="258" spans="2:17" ht="15.75">
      <c r="B258" s="39" t="s">
        <v>472</v>
      </c>
      <c r="C258" s="163" t="s">
        <v>473</v>
      </c>
      <c r="D258" s="163" t="s">
        <v>16</v>
      </c>
      <c r="E258" s="173">
        <v>0</v>
      </c>
      <c r="F258" s="174">
        <v>5.3479999999999999</v>
      </c>
      <c r="G258" s="174">
        <v>0</v>
      </c>
      <c r="H258" s="173"/>
      <c r="I258" s="173"/>
      <c r="J258" s="165">
        <v>9</v>
      </c>
      <c r="K258" s="165">
        <v>6.9</v>
      </c>
      <c r="L258" s="185">
        <v>18</v>
      </c>
      <c r="M258" s="165" t="s">
        <v>374</v>
      </c>
      <c r="N258" s="164"/>
      <c r="O258" s="171">
        <f>17.679*4*2</f>
        <v>141.43199999999999</v>
      </c>
      <c r="P258" s="15">
        <f t="shared" si="4"/>
        <v>8.8396694214876028</v>
      </c>
      <c r="Q258"/>
    </row>
    <row r="259" spans="2:17" ht="15.75">
      <c r="B259" s="39" t="s">
        <v>474</v>
      </c>
      <c r="C259" s="163" t="s">
        <v>475</v>
      </c>
      <c r="D259" s="163" t="s">
        <v>16</v>
      </c>
      <c r="E259" s="173">
        <v>3.88</v>
      </c>
      <c r="F259" s="174">
        <v>4.6950000000000003</v>
      </c>
      <c r="G259" s="174">
        <v>0</v>
      </c>
      <c r="H259" s="173"/>
      <c r="I259" s="173"/>
      <c r="J259" s="165">
        <v>9</v>
      </c>
      <c r="K259" s="165">
        <v>5.9</v>
      </c>
      <c r="L259" s="185">
        <v>16</v>
      </c>
      <c r="M259" s="165" t="s">
        <v>374</v>
      </c>
      <c r="N259" s="164"/>
      <c r="O259" s="171">
        <f>15.521*4*2</f>
        <v>124.16800000000001</v>
      </c>
      <c r="P259" s="15">
        <f t="shared" si="4"/>
        <v>7.7603305785123977</v>
      </c>
      <c r="Q259"/>
    </row>
    <row r="260" spans="2:17" ht="15.75">
      <c r="B260" s="39" t="s">
        <v>476</v>
      </c>
      <c r="C260" s="163" t="s">
        <v>477</v>
      </c>
      <c r="D260" s="163" t="s">
        <v>16</v>
      </c>
      <c r="E260" s="173">
        <v>0</v>
      </c>
      <c r="F260" s="174">
        <v>6.0020000000000007</v>
      </c>
      <c r="G260" s="174">
        <v>0</v>
      </c>
      <c r="H260" s="173"/>
      <c r="I260" s="173"/>
      <c r="J260" s="165">
        <v>18.5</v>
      </c>
      <c r="K260" s="165">
        <v>6.9</v>
      </c>
      <c r="L260" s="185">
        <v>22</v>
      </c>
      <c r="M260" s="165" t="s">
        <v>374</v>
      </c>
      <c r="N260" s="164"/>
      <c r="O260" s="171">
        <f>19.841*4*2</f>
        <v>158.72800000000001</v>
      </c>
      <c r="P260" s="15">
        <f t="shared" si="4"/>
        <v>9.920661157024794</v>
      </c>
      <c r="Q260"/>
    </row>
    <row r="261" spans="2:17" ht="15.75">
      <c r="B261" s="39" t="s">
        <v>478</v>
      </c>
      <c r="C261" s="163" t="s">
        <v>479</v>
      </c>
      <c r="D261" s="163" t="s">
        <v>16</v>
      </c>
      <c r="E261" s="173">
        <v>0</v>
      </c>
      <c r="F261" s="174">
        <v>3.5819999999999999</v>
      </c>
      <c r="G261" s="174">
        <v>0</v>
      </c>
      <c r="H261" s="173"/>
      <c r="I261" s="173"/>
      <c r="J261" s="165">
        <v>12.5</v>
      </c>
      <c r="K261" s="165">
        <v>5.9</v>
      </c>
      <c r="L261" s="185">
        <v>12</v>
      </c>
      <c r="M261" s="165" t="s">
        <v>374</v>
      </c>
      <c r="N261" s="164"/>
      <c r="O261" s="171">
        <f>11.841*4*2</f>
        <v>94.727999999999994</v>
      </c>
      <c r="P261" s="15">
        <f t="shared" si="4"/>
        <v>5.9206611570247931</v>
      </c>
      <c r="Q261"/>
    </row>
    <row r="262" spans="2:17" ht="15.75">
      <c r="B262" s="39" t="s">
        <v>480</v>
      </c>
      <c r="C262" s="163" t="s">
        <v>481</v>
      </c>
      <c r="D262" s="163" t="s">
        <v>16</v>
      </c>
      <c r="E262" s="173">
        <v>0</v>
      </c>
      <c r="F262" s="174">
        <v>25.555</v>
      </c>
      <c r="G262" s="174">
        <v>0</v>
      </c>
      <c r="H262" s="173"/>
      <c r="I262" s="173"/>
      <c r="J262" s="169">
        <v>15</v>
      </c>
      <c r="K262" s="169">
        <v>9.9</v>
      </c>
      <c r="L262" s="168">
        <v>25</v>
      </c>
      <c r="M262" s="165" t="s">
        <v>374</v>
      </c>
      <c r="N262" s="164"/>
      <c r="O262" s="171">
        <f>84.479*4*2</f>
        <v>675.83199999999999</v>
      </c>
      <c r="P262" s="15">
        <f t="shared" si="4"/>
        <v>42.239669421487605</v>
      </c>
      <c r="Q262"/>
    </row>
    <row r="263" spans="2:17" ht="15.75">
      <c r="B263" s="39" t="s">
        <v>482</v>
      </c>
      <c r="C263" s="163" t="s">
        <v>483</v>
      </c>
      <c r="D263" s="163" t="s">
        <v>16</v>
      </c>
      <c r="E263" s="173">
        <v>0</v>
      </c>
      <c r="F263" s="174">
        <v>6.0020000000000007</v>
      </c>
      <c r="G263" s="174">
        <v>0</v>
      </c>
      <c r="H263" s="173"/>
      <c r="I263" s="173"/>
      <c r="J263" s="169">
        <v>10</v>
      </c>
      <c r="K263" s="169">
        <v>4.9000000000000004</v>
      </c>
      <c r="L263" s="168">
        <v>16</v>
      </c>
      <c r="M263" s="165" t="s">
        <v>374</v>
      </c>
      <c r="N263" s="164"/>
      <c r="O263" s="171">
        <v>206.08</v>
      </c>
      <c r="P263" s="15">
        <f t="shared" si="4"/>
        <v>9.920661157024794</v>
      </c>
      <c r="Q263"/>
    </row>
    <row r="264" spans="2:17" ht="15.75">
      <c r="B264" s="39" t="s">
        <v>484</v>
      </c>
      <c r="C264" s="163" t="s">
        <v>485</v>
      </c>
      <c r="D264" s="163" t="s">
        <v>16</v>
      </c>
      <c r="E264" s="173">
        <v>0</v>
      </c>
      <c r="F264" s="174">
        <v>7.7439999999999998</v>
      </c>
      <c r="G264" s="174">
        <v>0</v>
      </c>
      <c r="H264" s="173"/>
      <c r="I264" s="173"/>
      <c r="J264" s="169">
        <v>13</v>
      </c>
      <c r="K264" s="169">
        <v>7.9</v>
      </c>
      <c r="L264" s="168">
        <v>14</v>
      </c>
      <c r="M264" s="165" t="s">
        <v>374</v>
      </c>
      <c r="N264" s="164"/>
      <c r="O264" s="171">
        <v>174.8</v>
      </c>
      <c r="P264" s="15">
        <f t="shared" si="4"/>
        <v>12.8</v>
      </c>
      <c r="Q264"/>
    </row>
    <row r="265" spans="2:17" ht="15.75">
      <c r="B265" s="39" t="s">
        <v>486</v>
      </c>
      <c r="C265" s="163" t="s">
        <v>487</v>
      </c>
      <c r="D265" s="163" t="s">
        <v>16</v>
      </c>
      <c r="E265" s="173">
        <v>0</v>
      </c>
      <c r="F265" s="174">
        <v>6.7759999999999998</v>
      </c>
      <c r="G265" s="174">
        <v>0</v>
      </c>
      <c r="H265" s="173"/>
      <c r="I265" s="173"/>
      <c r="J265" s="169">
        <v>11</v>
      </c>
      <c r="K265" s="169">
        <v>7.9</v>
      </c>
      <c r="L265" s="168">
        <v>28</v>
      </c>
      <c r="M265" s="165" t="s">
        <v>374</v>
      </c>
      <c r="N265" s="164"/>
      <c r="O265" s="171">
        <v>261.14</v>
      </c>
      <c r="P265" s="15">
        <f t="shared" si="4"/>
        <v>11.2</v>
      </c>
      <c r="Q265"/>
    </row>
    <row r="266" spans="2:17" ht="15.75">
      <c r="B266" s="39" t="s">
        <v>488</v>
      </c>
      <c r="C266" s="163" t="s">
        <v>489</v>
      </c>
      <c r="D266" s="163" t="s">
        <v>16</v>
      </c>
      <c r="E266" s="173">
        <v>0</v>
      </c>
      <c r="F266" s="174">
        <v>18.004999999999999</v>
      </c>
      <c r="G266" s="174">
        <v>0</v>
      </c>
      <c r="H266" s="173"/>
      <c r="I266" s="173"/>
      <c r="J266" s="169">
        <v>13.5</v>
      </c>
      <c r="K266" s="169">
        <v>6.9</v>
      </c>
      <c r="L266" s="168">
        <v>39</v>
      </c>
      <c r="M266" s="165" t="s">
        <v>374</v>
      </c>
      <c r="N266" s="164"/>
      <c r="O266" s="171">
        <v>493.52</v>
      </c>
      <c r="P266" s="15">
        <f t="shared" si="4"/>
        <v>29.760330578512395</v>
      </c>
      <c r="Q266"/>
    </row>
    <row r="267" spans="2:17" ht="15.75">
      <c r="B267" s="39" t="s">
        <v>490</v>
      </c>
      <c r="C267" s="163" t="s">
        <v>491</v>
      </c>
      <c r="D267" s="163" t="s">
        <v>16</v>
      </c>
      <c r="E267" s="173">
        <v>0</v>
      </c>
      <c r="F267" s="174">
        <v>17.23</v>
      </c>
      <c r="G267" s="174">
        <v>0</v>
      </c>
      <c r="H267" s="173"/>
      <c r="I267" s="173"/>
      <c r="J267" s="169">
        <v>15</v>
      </c>
      <c r="K267" s="169">
        <v>8.9</v>
      </c>
      <c r="L267" s="168">
        <v>21</v>
      </c>
      <c r="M267" s="165" t="s">
        <v>374</v>
      </c>
      <c r="N267" s="164"/>
      <c r="O267" s="171">
        <f>56.959*4*2</f>
        <v>455.67200000000003</v>
      </c>
      <c r="P267" s="15">
        <f t="shared" si="4"/>
        <v>28.47933884297521</v>
      </c>
      <c r="Q267"/>
    </row>
    <row r="268" spans="2:17" ht="15.75">
      <c r="B268" s="39" t="s">
        <v>492</v>
      </c>
      <c r="C268" s="163" t="s">
        <v>493</v>
      </c>
      <c r="D268" s="163" t="s">
        <v>16</v>
      </c>
      <c r="E268" s="173">
        <v>0</v>
      </c>
      <c r="F268" s="174">
        <v>19.166</v>
      </c>
      <c r="G268" s="174">
        <v>0</v>
      </c>
      <c r="H268" s="173"/>
      <c r="I268" s="173"/>
      <c r="J268" s="169">
        <v>15</v>
      </c>
      <c r="K268" s="169">
        <v>8.8000000000000007</v>
      </c>
      <c r="L268" s="168">
        <v>26</v>
      </c>
      <c r="M268" s="165" t="s">
        <v>374</v>
      </c>
      <c r="N268" s="164"/>
      <c r="O268" s="171">
        <f>63.359*4*2</f>
        <v>506.87200000000001</v>
      </c>
      <c r="P268" s="15">
        <f t="shared" si="4"/>
        <v>31.679338842975209</v>
      </c>
      <c r="Q268"/>
    </row>
    <row r="269" spans="2:17" ht="15.75">
      <c r="B269" s="39" t="s">
        <v>494</v>
      </c>
      <c r="C269" s="163" t="s">
        <v>495</v>
      </c>
      <c r="D269" s="163" t="s">
        <v>16</v>
      </c>
      <c r="E269" s="173">
        <v>0</v>
      </c>
      <c r="F269" s="174">
        <v>20.715</v>
      </c>
      <c r="G269" s="174">
        <v>0</v>
      </c>
      <c r="H269" s="173"/>
      <c r="I269" s="173"/>
      <c r="J269" s="169">
        <v>15</v>
      </c>
      <c r="K269" s="169">
        <v>8.8000000000000007</v>
      </c>
      <c r="L269" s="168">
        <v>29</v>
      </c>
      <c r="M269" s="165" t="s">
        <v>374</v>
      </c>
      <c r="N269" s="164"/>
      <c r="O269" s="171">
        <f>68.479*4*2</f>
        <v>547.83199999999999</v>
      </c>
      <c r="P269" s="15">
        <f t="shared" si="4"/>
        <v>34.239669421487605</v>
      </c>
      <c r="Q269"/>
    </row>
    <row r="270" spans="2:17" ht="15.75">
      <c r="B270" s="39" t="s">
        <v>496</v>
      </c>
      <c r="C270" s="163" t="s">
        <v>497</v>
      </c>
      <c r="D270" s="163" t="s">
        <v>16</v>
      </c>
      <c r="E270" s="173">
        <v>0</v>
      </c>
      <c r="F270" s="174">
        <v>45.496000000000002</v>
      </c>
      <c r="G270" s="174">
        <v>0</v>
      </c>
      <c r="H270" s="173"/>
      <c r="I270" s="173"/>
      <c r="J270" s="169">
        <v>16.5</v>
      </c>
      <c r="K270" s="169">
        <v>10.25</v>
      </c>
      <c r="L270" s="168">
        <v>29.5</v>
      </c>
      <c r="M270" s="165" t="s">
        <v>374</v>
      </c>
      <c r="N270" s="164"/>
      <c r="O270" s="176">
        <f>150.4*4*2</f>
        <v>1203.2</v>
      </c>
      <c r="P270" s="15">
        <f t="shared" si="4"/>
        <v>75.2</v>
      </c>
      <c r="Q270"/>
    </row>
    <row r="271" spans="2:17" ht="15.75">
      <c r="B271" s="39" t="s">
        <v>498</v>
      </c>
      <c r="C271" s="163" t="s">
        <v>499</v>
      </c>
      <c r="D271" s="163" t="s">
        <v>16</v>
      </c>
      <c r="E271" s="173">
        <v>0</v>
      </c>
      <c r="F271" s="174">
        <v>12.970999999999998</v>
      </c>
      <c r="G271" s="174">
        <v>0</v>
      </c>
      <c r="H271" s="173"/>
      <c r="I271" s="173"/>
      <c r="J271" s="169">
        <v>15</v>
      </c>
      <c r="K271" s="169">
        <v>8</v>
      </c>
      <c r="L271" s="168">
        <v>35</v>
      </c>
      <c r="M271" s="165" t="s">
        <v>374</v>
      </c>
      <c r="N271" s="164"/>
      <c r="O271" s="171">
        <f>42.879*4*2</f>
        <v>343.03199999999998</v>
      </c>
      <c r="P271" s="15">
        <f t="shared" si="4"/>
        <v>21.439669421487601</v>
      </c>
      <c r="Q271"/>
    </row>
    <row r="272" spans="2:17" ht="15.75">
      <c r="B272" s="39" t="s">
        <v>500</v>
      </c>
      <c r="C272" s="163" t="s">
        <v>435</v>
      </c>
      <c r="D272" s="163" t="s">
        <v>16</v>
      </c>
      <c r="E272" s="173">
        <v>0</v>
      </c>
      <c r="F272" s="174">
        <v>5.6139999999999999</v>
      </c>
      <c r="G272" s="174">
        <v>0</v>
      </c>
      <c r="H272" s="173"/>
      <c r="I272" s="173"/>
      <c r="J272" s="169">
        <v>10</v>
      </c>
      <c r="K272" s="169">
        <v>4.9000000000000004</v>
      </c>
      <c r="L272" s="168">
        <v>13</v>
      </c>
      <c r="M272" s="165" t="s">
        <v>374</v>
      </c>
      <c r="N272" s="164"/>
      <c r="O272" s="171">
        <f>18.559*4*2</f>
        <v>148.47200000000001</v>
      </c>
      <c r="P272" s="15">
        <f t="shared" si="4"/>
        <v>9.2793388429752071</v>
      </c>
      <c r="Q272"/>
    </row>
    <row r="273" spans="2:17" ht="15.75">
      <c r="B273" s="39" t="s">
        <v>501</v>
      </c>
      <c r="C273" s="163" t="s">
        <v>502</v>
      </c>
      <c r="D273" s="163" t="s">
        <v>16</v>
      </c>
      <c r="E273" s="173">
        <v>0</v>
      </c>
      <c r="F273" s="174">
        <v>28.555999999999997</v>
      </c>
      <c r="G273" s="174">
        <v>0</v>
      </c>
      <c r="H273" s="173"/>
      <c r="I273" s="173"/>
      <c r="J273" s="169">
        <v>15</v>
      </c>
      <c r="K273" s="169">
        <v>8.9</v>
      </c>
      <c r="L273" s="168">
        <v>31</v>
      </c>
      <c r="M273" s="165" t="s">
        <v>374</v>
      </c>
      <c r="N273" s="164"/>
      <c r="O273" s="171">
        <f>94.4*4*2</f>
        <v>755.2</v>
      </c>
      <c r="P273" s="15">
        <f t="shared" si="4"/>
        <v>47.199999999999996</v>
      </c>
      <c r="Q273"/>
    </row>
    <row r="274" spans="2:17" ht="15.75">
      <c r="B274" s="39" t="s">
        <v>503</v>
      </c>
      <c r="C274" s="163" t="s">
        <v>504</v>
      </c>
      <c r="D274" s="163" t="s">
        <v>16</v>
      </c>
      <c r="E274" s="173">
        <v>0</v>
      </c>
      <c r="F274" s="174">
        <v>5.6629999999999994</v>
      </c>
      <c r="G274" s="174">
        <v>0</v>
      </c>
      <c r="H274" s="173"/>
      <c r="I274" s="173"/>
      <c r="J274" s="169">
        <v>12.5</v>
      </c>
      <c r="K274" s="169">
        <v>5.9</v>
      </c>
      <c r="L274" s="168">
        <v>26</v>
      </c>
      <c r="M274" s="165" t="s">
        <v>374</v>
      </c>
      <c r="N274" s="164"/>
      <c r="O274" s="171">
        <f>18.721*4*2</f>
        <v>149.768</v>
      </c>
      <c r="P274" s="15">
        <f t="shared" si="4"/>
        <v>9.3603305785123965</v>
      </c>
      <c r="Q274"/>
    </row>
    <row r="275" spans="2:17" ht="15.75">
      <c r="B275" s="39" t="s">
        <v>505</v>
      </c>
      <c r="C275" s="163" t="s">
        <v>506</v>
      </c>
      <c r="D275" s="163" t="s">
        <v>16</v>
      </c>
      <c r="E275" s="173">
        <v>0</v>
      </c>
      <c r="F275" s="174">
        <v>30.008000000000003</v>
      </c>
      <c r="G275" s="174">
        <v>0</v>
      </c>
      <c r="H275" s="173"/>
      <c r="I275" s="173"/>
      <c r="J275" s="169">
        <v>15</v>
      </c>
      <c r="K275" s="169">
        <v>8.9</v>
      </c>
      <c r="L275" s="168">
        <v>35</v>
      </c>
      <c r="M275" s="165" t="s">
        <v>374</v>
      </c>
      <c r="N275" s="164"/>
      <c r="O275" s="171">
        <f>99.2*4*2</f>
        <v>793.6</v>
      </c>
      <c r="P275" s="15">
        <f t="shared" si="4"/>
        <v>49.600000000000009</v>
      </c>
      <c r="Q275"/>
    </row>
    <row r="276" spans="2:17" ht="15.75">
      <c r="B276" s="39" t="s">
        <v>507</v>
      </c>
      <c r="C276" s="163" t="s">
        <v>508</v>
      </c>
      <c r="D276" s="163" t="s">
        <v>16</v>
      </c>
      <c r="E276" s="173">
        <v>0</v>
      </c>
      <c r="F276" s="174">
        <v>9.3410000000000011</v>
      </c>
      <c r="G276" s="174">
        <v>0</v>
      </c>
      <c r="H276" s="173"/>
      <c r="I276" s="173"/>
      <c r="J276" s="169">
        <v>9</v>
      </c>
      <c r="K276" s="169">
        <v>6.9</v>
      </c>
      <c r="L276" s="168">
        <v>22</v>
      </c>
      <c r="M276" s="165" t="s">
        <v>374</v>
      </c>
      <c r="N276" s="164"/>
      <c r="O276" s="171">
        <f>30.879*4*2</f>
        <v>247.03200000000001</v>
      </c>
      <c r="P276" s="15">
        <f t="shared" si="4"/>
        <v>15.439669421487606</v>
      </c>
      <c r="Q276"/>
    </row>
    <row r="277" spans="2:17" ht="15.75">
      <c r="B277" s="39" t="s">
        <v>509</v>
      </c>
      <c r="C277" s="163" t="s">
        <v>510</v>
      </c>
      <c r="D277" s="163" t="s">
        <v>16</v>
      </c>
      <c r="E277" s="173">
        <v>0</v>
      </c>
      <c r="F277" s="174">
        <v>17.279</v>
      </c>
      <c r="G277" s="174">
        <v>0</v>
      </c>
      <c r="H277" s="173"/>
      <c r="I277" s="173"/>
      <c r="J277" s="169">
        <v>9</v>
      </c>
      <c r="K277" s="169">
        <v>6.9</v>
      </c>
      <c r="L277" s="168">
        <v>32</v>
      </c>
      <c r="M277" s="165" t="s">
        <v>374</v>
      </c>
      <c r="N277" s="164"/>
      <c r="O277" s="171">
        <f>57.121*4*2</f>
        <v>456.96800000000002</v>
      </c>
      <c r="P277" s="15">
        <f t="shared" si="4"/>
        <v>28.560330578512396</v>
      </c>
      <c r="Q277"/>
    </row>
    <row r="278" spans="2:17" ht="15.75">
      <c r="B278" s="39" t="s">
        <v>511</v>
      </c>
      <c r="C278" s="163" t="s">
        <v>512</v>
      </c>
      <c r="D278" s="163" t="s">
        <v>16</v>
      </c>
      <c r="E278" s="173">
        <v>0</v>
      </c>
      <c r="F278" s="174">
        <v>4.3079999999999998</v>
      </c>
      <c r="G278" s="174">
        <v>0</v>
      </c>
      <c r="H278" s="173"/>
      <c r="I278" s="173"/>
      <c r="J278" s="169">
        <v>12.5</v>
      </c>
      <c r="K278" s="169">
        <v>5.9</v>
      </c>
      <c r="L278" s="168">
        <v>14.5</v>
      </c>
      <c r="M278" s="165" t="s">
        <v>374</v>
      </c>
      <c r="N278" s="164"/>
      <c r="O278" s="171">
        <f>14.241*4*2</f>
        <v>113.928</v>
      </c>
      <c r="P278" s="15">
        <f t="shared" si="4"/>
        <v>7.1206611570247933</v>
      </c>
      <c r="Q278"/>
    </row>
    <row r="279" spans="2:17" ht="15.75">
      <c r="B279" s="39" t="s">
        <v>513</v>
      </c>
      <c r="C279" s="163" t="s">
        <v>514</v>
      </c>
      <c r="D279" s="163"/>
      <c r="E279" s="173"/>
      <c r="F279" s="174"/>
      <c r="G279" s="174"/>
      <c r="H279" s="173"/>
      <c r="I279" s="173"/>
      <c r="J279" s="169">
        <v>15</v>
      </c>
      <c r="K279" s="169">
        <v>7.9</v>
      </c>
      <c r="L279" s="168">
        <v>27</v>
      </c>
      <c r="M279" s="165" t="s">
        <v>374</v>
      </c>
      <c r="N279" s="164"/>
      <c r="O279" s="171">
        <v>261.12</v>
      </c>
      <c r="P279" s="15"/>
      <c r="Q279"/>
    </row>
    <row r="280" spans="2:17" ht="15.75">
      <c r="B280" s="39" t="s">
        <v>515</v>
      </c>
      <c r="C280" s="163" t="s">
        <v>516</v>
      </c>
      <c r="D280" s="163"/>
      <c r="E280" s="173"/>
      <c r="F280" s="174"/>
      <c r="G280" s="174"/>
      <c r="H280" s="173"/>
      <c r="I280" s="173"/>
      <c r="J280" s="169">
        <v>11.5</v>
      </c>
      <c r="K280" s="169">
        <v>5.9</v>
      </c>
      <c r="L280" s="168">
        <v>13</v>
      </c>
      <c r="M280" s="165" t="s">
        <v>374</v>
      </c>
      <c r="N280" s="164"/>
      <c r="O280" s="171">
        <v>106.72</v>
      </c>
      <c r="P280" s="15"/>
      <c r="Q280"/>
    </row>
    <row r="281" spans="2:17" ht="15.75">
      <c r="B281" s="39" t="s">
        <v>517</v>
      </c>
      <c r="C281" s="163" t="s">
        <v>518</v>
      </c>
      <c r="D281" s="163"/>
      <c r="E281" s="173"/>
      <c r="F281" s="174"/>
      <c r="G281" s="174"/>
      <c r="H281" s="173"/>
      <c r="I281" s="173"/>
      <c r="J281" s="169">
        <v>11.5</v>
      </c>
      <c r="K281" s="169">
        <v>5.9</v>
      </c>
      <c r="L281" s="168">
        <v>15</v>
      </c>
      <c r="M281" s="165" t="s">
        <v>374</v>
      </c>
      <c r="N281" s="164"/>
      <c r="O281" s="171">
        <v>119.68</v>
      </c>
      <c r="P281" s="15"/>
      <c r="Q281"/>
    </row>
    <row r="282" spans="2:17" ht="15.75">
      <c r="B282" s="39" t="s">
        <v>519</v>
      </c>
      <c r="C282" s="163" t="s">
        <v>520</v>
      </c>
      <c r="D282" s="163"/>
      <c r="E282" s="173"/>
      <c r="F282" s="174"/>
      <c r="G282" s="174"/>
      <c r="H282" s="173"/>
      <c r="I282" s="173"/>
      <c r="J282" s="169">
        <v>12</v>
      </c>
      <c r="K282" s="169">
        <v>6.3</v>
      </c>
      <c r="L282" s="168">
        <v>25</v>
      </c>
      <c r="M282" s="165" t="s">
        <v>374</v>
      </c>
      <c r="N282" s="164"/>
      <c r="O282" s="171">
        <v>198</v>
      </c>
      <c r="P282" s="15"/>
      <c r="Q282"/>
    </row>
    <row r="283" spans="2:17" ht="16.5" thickBot="1">
      <c r="B283" s="41" t="s">
        <v>521</v>
      </c>
      <c r="C283" s="177" t="s">
        <v>522</v>
      </c>
      <c r="D283" s="177" t="s">
        <v>16</v>
      </c>
      <c r="E283" s="178">
        <v>0</v>
      </c>
      <c r="F283" s="179">
        <v>29.04</v>
      </c>
      <c r="G283" s="179">
        <v>0</v>
      </c>
      <c r="H283" s="178"/>
      <c r="I283" s="178"/>
      <c r="J283" s="180">
        <v>15</v>
      </c>
      <c r="K283" s="180">
        <v>9.9</v>
      </c>
      <c r="L283" s="181">
        <v>32</v>
      </c>
      <c r="M283" s="186" t="s">
        <v>341</v>
      </c>
      <c r="N283" s="182"/>
      <c r="O283" s="184">
        <f>96*4*2</f>
        <v>768</v>
      </c>
      <c r="P283" s="18">
        <f t="shared" si="4"/>
        <v>48</v>
      </c>
      <c r="Q283"/>
    </row>
    <row r="284" spans="2:17">
      <c r="B284" s="13"/>
      <c r="C284" s="13"/>
      <c r="D284" s="13"/>
      <c r="F284" s="13"/>
      <c r="G284" s="13"/>
      <c r="P284" s="7">
        <f t="shared" si="4"/>
        <v>0</v>
      </c>
      <c r="Q284" s="8"/>
    </row>
    <row r="285" spans="2:17" ht="13.5" thickBot="1">
      <c r="B285" s="13"/>
      <c r="C285" s="13"/>
      <c r="D285" s="13"/>
      <c r="F285" s="13"/>
      <c r="G285" s="13"/>
      <c r="P285" s="7"/>
      <c r="Q285" s="8"/>
    </row>
    <row r="286" spans="2:17" ht="12.75" customHeight="1">
      <c r="B286" s="346" t="s">
        <v>523</v>
      </c>
      <c r="C286" s="347"/>
      <c r="D286" s="347"/>
      <c r="E286" s="347"/>
      <c r="F286" s="347"/>
      <c r="G286" s="347"/>
      <c r="H286" s="347"/>
      <c r="I286" s="347"/>
      <c r="J286" s="347"/>
      <c r="K286" s="347"/>
      <c r="L286" s="347"/>
      <c r="M286" s="348"/>
      <c r="N286" s="297"/>
      <c r="P286"/>
      <c r="Q286"/>
    </row>
    <row r="287" spans="2:17" ht="12.75" customHeight="1">
      <c r="B287" s="349"/>
      <c r="C287" s="350"/>
      <c r="D287" s="350"/>
      <c r="E287" s="350"/>
      <c r="F287" s="350"/>
      <c r="G287" s="350"/>
      <c r="H287" s="350"/>
      <c r="I287" s="350"/>
      <c r="J287" s="350"/>
      <c r="K287" s="350"/>
      <c r="L287" s="350"/>
      <c r="M287" s="351"/>
      <c r="N287" s="298"/>
      <c r="P287"/>
      <c r="Q287"/>
    </row>
    <row r="288" spans="2:17" ht="30">
      <c r="B288" s="77" t="s">
        <v>6</v>
      </c>
      <c r="C288" s="48" t="s">
        <v>7</v>
      </c>
      <c r="D288" s="48"/>
      <c r="E288" s="78"/>
      <c r="F288" s="48"/>
      <c r="G288" s="48"/>
      <c r="H288" s="78"/>
      <c r="I288" s="78"/>
      <c r="J288" s="48" t="s">
        <v>8</v>
      </c>
      <c r="K288" s="48" t="s">
        <v>9</v>
      </c>
      <c r="L288" s="48" t="s">
        <v>337</v>
      </c>
      <c r="M288" s="49" t="s">
        <v>13</v>
      </c>
      <c r="N288" s="21"/>
      <c r="P288"/>
      <c r="Q288"/>
    </row>
    <row r="289" spans="2:17" ht="15.75">
      <c r="B289" s="301" t="s">
        <v>524</v>
      </c>
      <c r="C289" s="232" t="s">
        <v>525</v>
      </c>
      <c r="D289" s="232" t="s">
        <v>16</v>
      </c>
      <c r="E289" s="233">
        <v>0</v>
      </c>
      <c r="F289" s="234">
        <v>1.1619999999999999</v>
      </c>
      <c r="G289" s="234">
        <v>0</v>
      </c>
      <c r="H289" s="233"/>
      <c r="I289" s="233"/>
      <c r="J289" s="235">
        <v>8.6999999999999993</v>
      </c>
      <c r="K289" s="235">
        <v>4.5999999999999996</v>
      </c>
      <c r="L289" s="236">
        <v>6.4</v>
      </c>
      <c r="M289" s="237">
        <f>3.841*4*2</f>
        <v>30.728000000000002</v>
      </c>
      <c r="N289" s="14"/>
      <c r="P289"/>
      <c r="Q289"/>
    </row>
    <row r="290" spans="2:17" ht="15.75">
      <c r="B290" s="301" t="s">
        <v>526</v>
      </c>
      <c r="C290" s="232" t="s">
        <v>527</v>
      </c>
      <c r="D290" s="232" t="s">
        <v>16</v>
      </c>
      <c r="E290" s="233">
        <v>0</v>
      </c>
      <c r="F290" s="234">
        <v>2.246</v>
      </c>
      <c r="G290" s="234">
        <v>0</v>
      </c>
      <c r="H290" s="233"/>
      <c r="I290" s="233"/>
      <c r="J290" s="235">
        <v>9</v>
      </c>
      <c r="K290" s="235">
        <v>4.9000000000000004</v>
      </c>
      <c r="L290" s="236">
        <v>9.5</v>
      </c>
      <c r="M290" s="237">
        <f>7.425*4*2</f>
        <v>59.4</v>
      </c>
      <c r="N290" s="14"/>
      <c r="P290"/>
      <c r="Q290"/>
    </row>
    <row r="291" spans="2:17" ht="15.75">
      <c r="B291" s="301" t="s">
        <v>528</v>
      </c>
      <c r="C291" s="232" t="s">
        <v>529</v>
      </c>
      <c r="D291" s="232" t="s">
        <v>16</v>
      </c>
      <c r="E291" s="233">
        <v>0</v>
      </c>
      <c r="F291" s="234">
        <v>1.1619999999999999</v>
      </c>
      <c r="G291" s="234">
        <v>0</v>
      </c>
      <c r="H291" s="233"/>
      <c r="I291" s="233"/>
      <c r="J291" s="235">
        <v>9</v>
      </c>
      <c r="K291" s="235">
        <v>4.9000000000000004</v>
      </c>
      <c r="L291" s="236">
        <v>8</v>
      </c>
      <c r="M291" s="237">
        <v>50</v>
      </c>
      <c r="N291" s="14"/>
      <c r="P291"/>
      <c r="Q291"/>
    </row>
    <row r="292" spans="2:17" ht="15.75">
      <c r="B292" s="301" t="s">
        <v>530</v>
      </c>
      <c r="C292" s="232" t="s">
        <v>531</v>
      </c>
      <c r="D292" s="232" t="s">
        <v>16</v>
      </c>
      <c r="E292" s="233">
        <v>0</v>
      </c>
      <c r="F292" s="234">
        <v>1.21</v>
      </c>
      <c r="G292" s="234">
        <v>0</v>
      </c>
      <c r="H292" s="233"/>
      <c r="I292" s="233"/>
      <c r="J292" s="235">
        <v>9</v>
      </c>
      <c r="K292" s="235">
        <v>5.9</v>
      </c>
      <c r="L292" s="236">
        <v>6</v>
      </c>
      <c r="M292" s="237">
        <v>48.6</v>
      </c>
      <c r="N292" s="14"/>
      <c r="P292"/>
      <c r="Q292"/>
    </row>
    <row r="293" spans="2:17" ht="15.75">
      <c r="B293" s="301" t="s">
        <v>532</v>
      </c>
      <c r="C293" s="232" t="s">
        <v>533</v>
      </c>
      <c r="D293" s="232" t="s">
        <v>16</v>
      </c>
      <c r="E293" s="233">
        <v>0</v>
      </c>
      <c r="F293" s="234">
        <v>1.331</v>
      </c>
      <c r="G293" s="234">
        <v>0</v>
      </c>
      <c r="H293" s="233"/>
      <c r="I293" s="233"/>
      <c r="J293" s="235">
        <v>9</v>
      </c>
      <c r="K293" s="235">
        <v>5.9</v>
      </c>
      <c r="L293" s="236">
        <v>7</v>
      </c>
      <c r="M293" s="237">
        <v>49.6</v>
      </c>
      <c r="N293" s="14"/>
      <c r="P293"/>
      <c r="Q293"/>
    </row>
    <row r="294" spans="2:17" ht="15.75">
      <c r="B294" s="301" t="s">
        <v>534</v>
      </c>
      <c r="C294" s="232" t="s">
        <v>535</v>
      </c>
      <c r="D294" s="232" t="s">
        <v>16</v>
      </c>
      <c r="E294" s="233">
        <v>0</v>
      </c>
      <c r="F294" s="234">
        <v>1.1619999999999999</v>
      </c>
      <c r="G294" s="234">
        <v>0</v>
      </c>
      <c r="H294" s="233"/>
      <c r="I294" s="233"/>
      <c r="J294" s="235">
        <v>9</v>
      </c>
      <c r="K294" s="235">
        <v>5</v>
      </c>
      <c r="L294" s="236">
        <v>5.5</v>
      </c>
      <c r="M294" s="237">
        <f>3.841*4*2</f>
        <v>30.728000000000002</v>
      </c>
      <c r="N294" s="14"/>
      <c r="P294"/>
      <c r="Q294"/>
    </row>
    <row r="295" spans="2:17" ht="15.75">
      <c r="B295" s="301" t="s">
        <v>536</v>
      </c>
      <c r="C295" s="232" t="s">
        <v>537</v>
      </c>
      <c r="D295" s="232" t="s">
        <v>16</v>
      </c>
      <c r="E295" s="233">
        <v>0</v>
      </c>
      <c r="F295" s="234">
        <v>1.355</v>
      </c>
      <c r="G295" s="234">
        <v>0</v>
      </c>
      <c r="H295" s="233"/>
      <c r="I295" s="233"/>
      <c r="J295" s="235">
        <v>9</v>
      </c>
      <c r="K295" s="235">
        <v>4.9000000000000004</v>
      </c>
      <c r="L295" s="236">
        <v>9.5</v>
      </c>
      <c r="M295" s="237">
        <v>59.4</v>
      </c>
      <c r="N295" s="14"/>
      <c r="P295"/>
      <c r="Q295"/>
    </row>
    <row r="296" spans="2:17" ht="15.75">
      <c r="B296" s="301" t="s">
        <v>538</v>
      </c>
      <c r="C296" s="232" t="s">
        <v>539</v>
      </c>
      <c r="D296" s="232" t="s">
        <v>16</v>
      </c>
      <c r="E296" s="233">
        <v>0</v>
      </c>
      <c r="F296" s="234">
        <v>1.8149999999999999</v>
      </c>
      <c r="G296" s="234">
        <v>0</v>
      </c>
      <c r="H296" s="233"/>
      <c r="I296" s="233"/>
      <c r="J296" s="235">
        <v>9</v>
      </c>
      <c r="K296" s="235">
        <v>5</v>
      </c>
      <c r="L296" s="236">
        <v>8</v>
      </c>
      <c r="M296" s="237">
        <f>6*4*2</f>
        <v>48</v>
      </c>
      <c r="N296" s="14"/>
      <c r="P296"/>
      <c r="Q296"/>
    </row>
    <row r="297" spans="2:17" ht="15.75">
      <c r="B297" s="301" t="s">
        <v>540</v>
      </c>
      <c r="C297" s="232" t="s">
        <v>541</v>
      </c>
      <c r="D297" s="232" t="s">
        <v>16</v>
      </c>
      <c r="E297" s="233">
        <v>0</v>
      </c>
      <c r="F297" s="234">
        <v>1.742</v>
      </c>
      <c r="G297" s="234">
        <v>0</v>
      </c>
      <c r="H297" s="233"/>
      <c r="I297" s="233"/>
      <c r="J297" s="235">
        <v>9</v>
      </c>
      <c r="K297" s="235">
        <v>6</v>
      </c>
      <c r="L297" s="236">
        <v>6</v>
      </c>
      <c r="M297" s="237">
        <v>62.14</v>
      </c>
      <c r="N297" s="14"/>
      <c r="P297"/>
      <c r="Q297"/>
    </row>
    <row r="298" spans="2:17" ht="15.75">
      <c r="B298" s="301" t="s">
        <v>542</v>
      </c>
      <c r="C298" s="232" t="s">
        <v>543</v>
      </c>
      <c r="D298" s="232" t="s">
        <v>16</v>
      </c>
      <c r="E298" s="233">
        <v>0</v>
      </c>
      <c r="F298" s="234">
        <v>3.2910000000000004</v>
      </c>
      <c r="G298" s="234">
        <v>0</v>
      </c>
      <c r="H298" s="233"/>
      <c r="I298" s="233"/>
      <c r="J298" s="235">
        <v>11</v>
      </c>
      <c r="K298" s="235">
        <v>5.9</v>
      </c>
      <c r="L298" s="236">
        <v>10</v>
      </c>
      <c r="M298" s="237">
        <v>86.56</v>
      </c>
      <c r="N298" s="14"/>
      <c r="P298"/>
      <c r="Q298"/>
    </row>
    <row r="299" spans="2:17" ht="15.75">
      <c r="B299" s="301" t="s">
        <v>544</v>
      </c>
      <c r="C299" s="232" t="s">
        <v>545</v>
      </c>
      <c r="D299" s="232" t="s">
        <v>16</v>
      </c>
      <c r="E299" s="233">
        <v>0</v>
      </c>
      <c r="F299" s="234">
        <v>3.5819999999999999</v>
      </c>
      <c r="G299" s="234">
        <v>0</v>
      </c>
      <c r="H299" s="233"/>
      <c r="I299" s="233"/>
      <c r="J299" s="235">
        <v>7.9</v>
      </c>
      <c r="K299" s="235">
        <v>3.9</v>
      </c>
      <c r="L299" s="236">
        <v>12.7</v>
      </c>
      <c r="M299" s="237">
        <f>11.841*4*2*2</f>
        <v>189.45599999999999</v>
      </c>
      <c r="N299" s="14"/>
      <c r="P299"/>
      <c r="Q299"/>
    </row>
    <row r="300" spans="2:17" ht="15.75">
      <c r="B300" s="301" t="s">
        <v>546</v>
      </c>
      <c r="C300" s="232" t="s">
        <v>547</v>
      </c>
      <c r="D300" s="232" t="s">
        <v>16</v>
      </c>
      <c r="E300" s="233">
        <v>0</v>
      </c>
      <c r="F300" s="234">
        <v>3.5819999999999999</v>
      </c>
      <c r="G300" s="234">
        <v>0</v>
      </c>
      <c r="H300" s="233"/>
      <c r="I300" s="233"/>
      <c r="J300" s="235">
        <v>7.9</v>
      </c>
      <c r="K300" s="235">
        <v>3.9</v>
      </c>
      <c r="L300" s="236">
        <v>10</v>
      </c>
      <c r="M300" s="237">
        <f>11.841*4*2*2</f>
        <v>189.45599999999999</v>
      </c>
      <c r="N300" s="14"/>
      <c r="P300"/>
      <c r="Q300"/>
    </row>
    <row r="301" spans="2:17" ht="15.75">
      <c r="B301" s="301" t="s">
        <v>548</v>
      </c>
      <c r="C301" s="232" t="s">
        <v>549</v>
      </c>
      <c r="D301" s="232" t="s">
        <v>16</v>
      </c>
      <c r="E301" s="233">
        <v>0</v>
      </c>
      <c r="F301" s="234">
        <v>3.9930000000000003</v>
      </c>
      <c r="G301" s="234">
        <v>0</v>
      </c>
      <c r="H301" s="233"/>
      <c r="I301" s="233"/>
      <c r="J301" s="235">
        <v>9</v>
      </c>
      <c r="K301" s="235">
        <v>4.8</v>
      </c>
      <c r="L301" s="236">
        <v>8</v>
      </c>
      <c r="M301" s="237">
        <v>52.2</v>
      </c>
      <c r="N301" s="14"/>
      <c r="P301"/>
      <c r="Q301"/>
    </row>
    <row r="302" spans="2:17" ht="15.75">
      <c r="B302" s="301" t="s">
        <v>550</v>
      </c>
      <c r="C302" s="232" t="s">
        <v>551</v>
      </c>
      <c r="D302" s="232" t="s">
        <v>16</v>
      </c>
      <c r="E302" s="233">
        <v>0</v>
      </c>
      <c r="F302" s="234">
        <v>3.9930000000000003</v>
      </c>
      <c r="G302" s="234">
        <v>0</v>
      </c>
      <c r="H302" s="233"/>
      <c r="I302" s="233"/>
      <c r="J302" s="235">
        <v>9</v>
      </c>
      <c r="K302" s="235">
        <v>4.8</v>
      </c>
      <c r="L302" s="236">
        <v>9.5</v>
      </c>
      <c r="M302" s="237">
        <v>54.6</v>
      </c>
      <c r="N302" s="14"/>
      <c r="P302"/>
      <c r="Q302"/>
    </row>
    <row r="303" spans="2:17" ht="15.75">
      <c r="B303" s="301" t="s">
        <v>552</v>
      </c>
      <c r="C303" s="232" t="s">
        <v>553</v>
      </c>
      <c r="D303" s="232" t="s">
        <v>16</v>
      </c>
      <c r="E303" s="233">
        <v>1.7</v>
      </c>
      <c r="F303" s="234">
        <v>2.0569999999999999</v>
      </c>
      <c r="G303" s="234">
        <v>0</v>
      </c>
      <c r="H303" s="233"/>
      <c r="I303" s="233"/>
      <c r="J303" s="235">
        <v>10.5</v>
      </c>
      <c r="K303" s="235">
        <v>6</v>
      </c>
      <c r="L303" s="236">
        <v>5.5</v>
      </c>
      <c r="M303" s="237">
        <f>6.8*4*2</f>
        <v>54.4</v>
      </c>
      <c r="N303" s="14"/>
      <c r="P303"/>
      <c r="Q303"/>
    </row>
    <row r="304" spans="2:17" ht="15.75">
      <c r="B304" s="301" t="s">
        <v>554</v>
      </c>
      <c r="C304" s="232"/>
      <c r="D304" s="232"/>
      <c r="E304" s="233"/>
      <c r="F304" s="234"/>
      <c r="G304" s="234"/>
      <c r="H304" s="233"/>
      <c r="I304" s="233"/>
      <c r="J304" s="235"/>
      <c r="K304" s="235"/>
      <c r="L304" s="236"/>
      <c r="M304" s="238"/>
      <c r="N304" s="14"/>
      <c r="P304"/>
      <c r="Q304"/>
    </row>
    <row r="305" spans="2:17" ht="16.5" thickBot="1">
      <c r="B305" s="46" t="s">
        <v>555</v>
      </c>
      <c r="C305" s="239" t="s">
        <v>556</v>
      </c>
      <c r="D305" s="239"/>
      <c r="E305" s="240"/>
      <c r="F305" s="241"/>
      <c r="G305" s="241"/>
      <c r="H305" s="240"/>
      <c r="I305" s="240"/>
      <c r="J305" s="242">
        <v>9</v>
      </c>
      <c r="K305" s="242">
        <v>5.9</v>
      </c>
      <c r="L305" s="243">
        <v>7</v>
      </c>
      <c r="M305" s="244">
        <v>55.6</v>
      </c>
      <c r="N305" s="17"/>
      <c r="P305"/>
      <c r="Q305"/>
    </row>
    <row r="306" spans="2:17">
      <c r="B306" s="13"/>
      <c r="C306" s="13"/>
      <c r="D306" s="13"/>
      <c r="E306" s="1"/>
      <c r="F306" s="3"/>
      <c r="G306" s="3"/>
      <c r="H306" s="1"/>
      <c r="I306" s="1"/>
      <c r="J306" s="1"/>
      <c r="K306" s="1"/>
      <c r="L306" s="1"/>
      <c r="P306" s="7"/>
      <c r="Q306" s="8"/>
    </row>
    <row r="307" spans="2:17" ht="13.5" thickBot="1">
      <c r="B307" s="13"/>
      <c r="C307" s="13"/>
      <c r="D307" s="13"/>
      <c r="E307" s="1"/>
      <c r="F307" s="3"/>
      <c r="G307" s="3"/>
      <c r="H307" s="1"/>
      <c r="I307" s="1"/>
      <c r="J307" s="1"/>
      <c r="K307" s="1"/>
      <c r="L307" s="1"/>
      <c r="P307" s="7"/>
      <c r="Q307" s="8"/>
    </row>
    <row r="308" spans="2:17" ht="12.75" customHeight="1">
      <c r="B308" s="391" t="s">
        <v>557</v>
      </c>
      <c r="C308" s="392"/>
      <c r="D308" s="392"/>
      <c r="E308" s="392"/>
      <c r="F308" s="392"/>
      <c r="G308" s="392"/>
      <c r="H308" s="392"/>
      <c r="I308" s="392"/>
      <c r="J308" s="392"/>
      <c r="K308" s="392"/>
      <c r="L308" s="392"/>
      <c r="M308" s="393"/>
      <c r="N308" s="299"/>
      <c r="P308"/>
      <c r="Q308"/>
    </row>
    <row r="309" spans="2:17" ht="12.75" customHeight="1">
      <c r="B309" s="394"/>
      <c r="C309" s="395"/>
      <c r="D309" s="395"/>
      <c r="E309" s="395"/>
      <c r="F309" s="395"/>
      <c r="G309" s="395"/>
      <c r="H309" s="395"/>
      <c r="I309" s="395"/>
      <c r="J309" s="395"/>
      <c r="K309" s="395"/>
      <c r="L309" s="395"/>
      <c r="M309" s="396"/>
      <c r="N309" s="300"/>
      <c r="P309"/>
      <c r="Q309"/>
    </row>
    <row r="310" spans="2:17" ht="30">
      <c r="B310" s="53" t="s">
        <v>6</v>
      </c>
      <c r="C310" s="54" t="s">
        <v>7</v>
      </c>
      <c r="D310" s="54"/>
      <c r="E310" s="79"/>
      <c r="F310" s="55"/>
      <c r="G310" s="55"/>
      <c r="H310" s="79"/>
      <c r="I310" s="79"/>
      <c r="J310" s="55" t="s">
        <v>8</v>
      </c>
      <c r="K310" s="55" t="s">
        <v>558</v>
      </c>
      <c r="L310" s="55" t="s">
        <v>559</v>
      </c>
      <c r="M310" s="56" t="s">
        <v>13</v>
      </c>
      <c r="N310" s="22"/>
      <c r="P310"/>
      <c r="Q310"/>
    </row>
    <row r="311" spans="2:17" ht="15.75">
      <c r="B311" s="50" t="s">
        <v>560</v>
      </c>
      <c r="C311" s="149" t="s">
        <v>561</v>
      </c>
      <c r="D311" s="149" t="s">
        <v>16</v>
      </c>
      <c r="E311" s="150">
        <v>0</v>
      </c>
      <c r="F311" s="151">
        <v>1.355</v>
      </c>
      <c r="G311" s="151">
        <v>0</v>
      </c>
      <c r="H311" s="150"/>
      <c r="I311" s="150"/>
      <c r="J311" s="152">
        <v>9</v>
      </c>
      <c r="K311" s="152">
        <v>4.9000000000000004</v>
      </c>
      <c r="L311" s="153">
        <v>11</v>
      </c>
      <c r="M311" s="155">
        <v>52.2</v>
      </c>
      <c r="N311" s="14"/>
      <c r="P311"/>
      <c r="Q311"/>
    </row>
    <row r="312" spans="2:17" ht="15.75">
      <c r="B312" s="50" t="s">
        <v>562</v>
      </c>
      <c r="C312" s="149" t="s">
        <v>563</v>
      </c>
      <c r="D312" s="149" t="s">
        <v>16</v>
      </c>
      <c r="E312" s="150">
        <v>0</v>
      </c>
      <c r="F312" s="151">
        <v>4.7919999999999998</v>
      </c>
      <c r="G312" s="151">
        <v>0</v>
      </c>
      <c r="H312" s="150"/>
      <c r="I312" s="150"/>
      <c r="J312" s="152">
        <v>13</v>
      </c>
      <c r="K312" s="152">
        <v>7.8</v>
      </c>
      <c r="L312" s="153">
        <v>14</v>
      </c>
      <c r="M312" s="155">
        <f>15.841*4*2</f>
        <v>126.72799999999999</v>
      </c>
      <c r="N312" s="14"/>
      <c r="P312"/>
      <c r="Q312"/>
    </row>
    <row r="313" spans="2:17" ht="15.75">
      <c r="B313" s="50" t="s">
        <v>564</v>
      </c>
      <c r="C313" s="149" t="s">
        <v>565</v>
      </c>
      <c r="D313" s="149" t="s">
        <v>16</v>
      </c>
      <c r="E313" s="150">
        <v>0</v>
      </c>
      <c r="F313" s="151">
        <v>5.4689999999999994</v>
      </c>
      <c r="G313" s="151">
        <v>0</v>
      </c>
      <c r="H313" s="150"/>
      <c r="I313" s="150"/>
      <c r="J313" s="152">
        <v>13</v>
      </c>
      <c r="K313" s="152">
        <v>7.8</v>
      </c>
      <c r="L313" s="153">
        <v>17</v>
      </c>
      <c r="M313" s="155">
        <f>18.079*4*2</f>
        <v>144.63200000000001</v>
      </c>
      <c r="N313" s="14"/>
      <c r="P313"/>
      <c r="Q313"/>
    </row>
    <row r="314" spans="2:17" ht="15.75">
      <c r="B314" s="50" t="s">
        <v>566</v>
      </c>
      <c r="C314" s="149" t="s">
        <v>567</v>
      </c>
      <c r="D314" s="149" t="s">
        <v>16</v>
      </c>
      <c r="E314" s="150">
        <v>0</v>
      </c>
      <c r="F314" s="151">
        <v>5.9050000000000002</v>
      </c>
      <c r="G314" s="151">
        <v>0</v>
      </c>
      <c r="H314" s="150"/>
      <c r="I314" s="150"/>
      <c r="J314" s="152">
        <v>13</v>
      </c>
      <c r="K314" s="152">
        <v>7.8</v>
      </c>
      <c r="L314" s="153">
        <v>19</v>
      </c>
      <c r="M314" s="155">
        <f>19.521*4*2</f>
        <v>156.16800000000001</v>
      </c>
      <c r="N314" s="14"/>
      <c r="P314"/>
      <c r="Q314"/>
    </row>
    <row r="315" spans="2:17" ht="15.75">
      <c r="B315" s="50" t="s">
        <v>568</v>
      </c>
      <c r="C315" s="149" t="s">
        <v>569</v>
      </c>
      <c r="D315" s="149" t="s">
        <v>16</v>
      </c>
      <c r="E315" s="150">
        <v>0</v>
      </c>
      <c r="F315" s="151">
        <v>6.3159999999999998</v>
      </c>
      <c r="G315" s="151">
        <v>0</v>
      </c>
      <c r="H315" s="150"/>
      <c r="I315" s="150"/>
      <c r="J315" s="152">
        <v>13</v>
      </c>
      <c r="K315" s="152">
        <v>7.8</v>
      </c>
      <c r="L315" s="153">
        <v>21</v>
      </c>
      <c r="M315" s="155">
        <f>20.879*4*2</f>
        <v>167.03200000000001</v>
      </c>
      <c r="N315" s="14"/>
      <c r="P315"/>
      <c r="Q315"/>
    </row>
    <row r="316" spans="2:17" ht="15.75">
      <c r="B316" s="50" t="s">
        <v>570</v>
      </c>
      <c r="C316" s="149" t="s">
        <v>571</v>
      </c>
      <c r="D316" s="149" t="s">
        <v>16</v>
      </c>
      <c r="E316" s="150">
        <v>0</v>
      </c>
      <c r="F316" s="151">
        <v>19.36</v>
      </c>
      <c r="G316" s="151">
        <v>0</v>
      </c>
      <c r="H316" s="150"/>
      <c r="I316" s="150"/>
      <c r="J316" s="152">
        <v>15</v>
      </c>
      <c r="K316" s="152">
        <v>9.9</v>
      </c>
      <c r="L316" s="153">
        <v>19</v>
      </c>
      <c r="M316" s="155">
        <f>64*4*2</f>
        <v>512</v>
      </c>
      <c r="N316" s="14"/>
      <c r="P316"/>
      <c r="Q316"/>
    </row>
    <row r="317" spans="2:17" ht="15.75">
      <c r="B317" s="50" t="s">
        <v>572</v>
      </c>
      <c r="C317" s="149" t="s">
        <v>573</v>
      </c>
      <c r="D317" s="149" t="s">
        <v>16</v>
      </c>
      <c r="E317" s="150">
        <v>0</v>
      </c>
      <c r="F317" s="151">
        <v>8.1070000000000011</v>
      </c>
      <c r="G317" s="151">
        <v>0</v>
      </c>
      <c r="H317" s="150"/>
      <c r="I317" s="150"/>
      <c r="J317" s="152">
        <v>15</v>
      </c>
      <c r="K317" s="152">
        <v>7.8</v>
      </c>
      <c r="L317" s="153">
        <v>29</v>
      </c>
      <c r="M317" s="155">
        <f>26.8*4*2</f>
        <v>214.4</v>
      </c>
      <c r="N317" s="14"/>
      <c r="P317"/>
      <c r="Q317"/>
    </row>
    <row r="318" spans="2:17" ht="15.75">
      <c r="B318" s="50" t="s">
        <v>574</v>
      </c>
      <c r="C318" s="149" t="s">
        <v>575</v>
      </c>
      <c r="D318" s="149" t="s">
        <v>16</v>
      </c>
      <c r="E318" s="150">
        <v>0</v>
      </c>
      <c r="F318" s="151">
        <v>8.8089999999999993</v>
      </c>
      <c r="G318" s="151">
        <v>0</v>
      </c>
      <c r="H318" s="150"/>
      <c r="I318" s="150"/>
      <c r="J318" s="152">
        <v>15</v>
      </c>
      <c r="K318" s="152">
        <v>7.8</v>
      </c>
      <c r="L318" s="153">
        <v>32</v>
      </c>
      <c r="M318" s="155">
        <f>29.121*4*2</f>
        <v>232.96799999999999</v>
      </c>
      <c r="N318" s="14"/>
      <c r="P318"/>
      <c r="Q318"/>
    </row>
    <row r="319" spans="2:17" ht="15.75">
      <c r="B319" s="50" t="s">
        <v>576</v>
      </c>
      <c r="C319" s="149" t="s">
        <v>577</v>
      </c>
      <c r="D319" s="149" t="s">
        <v>16</v>
      </c>
      <c r="E319" s="150">
        <v>0</v>
      </c>
      <c r="F319" s="151">
        <v>9.4379999999999988</v>
      </c>
      <c r="G319" s="151">
        <v>0</v>
      </c>
      <c r="H319" s="150"/>
      <c r="I319" s="150"/>
      <c r="J319" s="152">
        <v>15</v>
      </c>
      <c r="K319" s="152">
        <v>7.8</v>
      </c>
      <c r="L319" s="153">
        <v>35</v>
      </c>
      <c r="M319" s="155">
        <v>299.52</v>
      </c>
      <c r="N319" s="14"/>
      <c r="P319"/>
      <c r="Q319"/>
    </row>
    <row r="320" spans="2:17" ht="15.75">
      <c r="B320" s="50" t="s">
        <v>578</v>
      </c>
      <c r="C320" s="149" t="s">
        <v>579</v>
      </c>
      <c r="D320" s="149" t="s">
        <v>16</v>
      </c>
      <c r="E320" s="150">
        <v>9.1</v>
      </c>
      <c r="F320" s="151">
        <v>11.010999999999999</v>
      </c>
      <c r="G320" s="151">
        <v>0</v>
      </c>
      <c r="H320" s="150"/>
      <c r="I320" s="150"/>
      <c r="J320" s="152">
        <v>13</v>
      </c>
      <c r="K320" s="152">
        <v>7.8</v>
      </c>
      <c r="L320" s="153">
        <v>42</v>
      </c>
      <c r="M320" s="155">
        <f>36.4*4*2</f>
        <v>291.2</v>
      </c>
      <c r="N320" s="14"/>
      <c r="P320"/>
      <c r="Q320"/>
    </row>
    <row r="321" spans="2:17" ht="15.75">
      <c r="B321" s="50" t="s">
        <v>580</v>
      </c>
      <c r="C321" s="149" t="s">
        <v>581</v>
      </c>
      <c r="D321" s="149" t="s">
        <v>16</v>
      </c>
      <c r="E321" s="150">
        <v>0</v>
      </c>
      <c r="F321" s="151">
        <v>21.683000000000003</v>
      </c>
      <c r="G321" s="151">
        <v>0</v>
      </c>
      <c r="H321" s="150"/>
      <c r="I321" s="150"/>
      <c r="J321" s="152">
        <v>15</v>
      </c>
      <c r="K321" s="152">
        <v>8.9</v>
      </c>
      <c r="L321" s="153">
        <v>31</v>
      </c>
      <c r="M321" s="155">
        <f>71.679*4*2</f>
        <v>573.43200000000002</v>
      </c>
      <c r="N321" s="14"/>
      <c r="P321"/>
      <c r="Q321"/>
    </row>
    <row r="322" spans="2:17" ht="15.75">
      <c r="B322" s="50" t="s">
        <v>582</v>
      </c>
      <c r="C322" s="149" t="s">
        <v>583</v>
      </c>
      <c r="D322" s="149" t="s">
        <v>16</v>
      </c>
      <c r="E322" s="150">
        <v>0</v>
      </c>
      <c r="F322" s="151">
        <v>4.1139999999999999</v>
      </c>
      <c r="G322" s="151">
        <v>0</v>
      </c>
      <c r="H322" s="150"/>
      <c r="I322" s="150"/>
      <c r="J322" s="152">
        <v>12.5</v>
      </c>
      <c r="K322" s="152">
        <v>5.9</v>
      </c>
      <c r="L322" s="153">
        <v>26</v>
      </c>
      <c r="M322" s="155">
        <f>13.6*4*2</f>
        <v>108.8</v>
      </c>
      <c r="N322" s="14"/>
      <c r="P322"/>
      <c r="Q322"/>
    </row>
    <row r="323" spans="2:17" ht="15.75">
      <c r="B323" s="50" t="s">
        <v>584</v>
      </c>
      <c r="C323" s="149" t="s">
        <v>585</v>
      </c>
      <c r="D323" s="149" t="s">
        <v>16</v>
      </c>
      <c r="E323" s="150">
        <v>0</v>
      </c>
      <c r="F323" s="151">
        <v>3.194</v>
      </c>
      <c r="G323" s="151">
        <v>0</v>
      </c>
      <c r="H323" s="150"/>
      <c r="I323" s="150"/>
      <c r="J323" s="152">
        <v>12.5</v>
      </c>
      <c r="K323" s="152">
        <v>6.3</v>
      </c>
      <c r="L323" s="153">
        <v>8</v>
      </c>
      <c r="M323" s="155">
        <f>10.559*4*2</f>
        <v>84.471999999999994</v>
      </c>
      <c r="N323" s="14"/>
      <c r="P323"/>
      <c r="Q323"/>
    </row>
    <row r="324" spans="2:17" ht="15.75">
      <c r="B324" s="50" t="s">
        <v>586</v>
      </c>
      <c r="C324" s="149" t="s">
        <v>587</v>
      </c>
      <c r="D324" s="149" t="s">
        <v>16</v>
      </c>
      <c r="E324" s="150">
        <v>0</v>
      </c>
      <c r="F324" s="151">
        <v>6.97</v>
      </c>
      <c r="G324" s="151">
        <v>0</v>
      </c>
      <c r="H324" s="150"/>
      <c r="I324" s="150"/>
      <c r="J324" s="152">
        <v>12</v>
      </c>
      <c r="K324" s="152">
        <v>6.3</v>
      </c>
      <c r="L324" s="153">
        <v>25</v>
      </c>
      <c r="M324" s="155">
        <v>194.88</v>
      </c>
      <c r="N324" s="14"/>
      <c r="P324"/>
      <c r="Q324"/>
    </row>
    <row r="325" spans="2:17" ht="15.75">
      <c r="B325" s="50" t="s">
        <v>588</v>
      </c>
      <c r="C325" s="149" t="s">
        <v>589</v>
      </c>
      <c r="D325" s="149" t="s">
        <v>16</v>
      </c>
      <c r="E325" s="150">
        <v>0</v>
      </c>
      <c r="F325" s="151">
        <v>1.452</v>
      </c>
      <c r="G325" s="151">
        <v>0</v>
      </c>
      <c r="H325" s="150"/>
      <c r="I325" s="150"/>
      <c r="J325" s="152">
        <v>7</v>
      </c>
      <c r="K325" s="152">
        <v>3.9</v>
      </c>
      <c r="L325" s="153">
        <v>8</v>
      </c>
      <c r="M325" s="155">
        <v>160</v>
      </c>
      <c r="N325" s="14"/>
      <c r="P325"/>
      <c r="Q325"/>
    </row>
    <row r="326" spans="2:17" ht="15.75">
      <c r="B326" s="50" t="s">
        <v>590</v>
      </c>
      <c r="C326" s="149" t="s">
        <v>591</v>
      </c>
      <c r="D326" s="149" t="s">
        <v>16</v>
      </c>
      <c r="E326" s="150">
        <v>0</v>
      </c>
      <c r="F326" s="151">
        <v>21.683000000000003</v>
      </c>
      <c r="G326" s="151">
        <v>0</v>
      </c>
      <c r="H326" s="150"/>
      <c r="I326" s="150"/>
      <c r="J326" s="152">
        <v>18</v>
      </c>
      <c r="K326" s="152">
        <v>8.9</v>
      </c>
      <c r="L326" s="153">
        <v>35</v>
      </c>
      <c r="M326" s="155">
        <f>75.98*4*2</f>
        <v>607.84</v>
      </c>
      <c r="N326" s="14"/>
      <c r="P326"/>
      <c r="Q326"/>
    </row>
    <row r="327" spans="2:17" ht="15.75">
      <c r="B327" s="50" t="s">
        <v>592</v>
      </c>
      <c r="C327" s="149" t="s">
        <v>593</v>
      </c>
      <c r="D327" s="149" t="s">
        <v>16</v>
      </c>
      <c r="E327" s="150">
        <v>0</v>
      </c>
      <c r="F327" s="151">
        <v>4.6459999999999999</v>
      </c>
      <c r="G327" s="151">
        <v>0</v>
      </c>
      <c r="H327" s="150"/>
      <c r="I327" s="150"/>
      <c r="J327" s="152">
        <v>12.5</v>
      </c>
      <c r="K327" s="152">
        <v>5.9</v>
      </c>
      <c r="L327" s="153">
        <v>28</v>
      </c>
      <c r="M327" s="155">
        <f>15.359*4*2</f>
        <v>122.872</v>
      </c>
      <c r="N327" s="14"/>
      <c r="P327"/>
      <c r="Q327"/>
    </row>
    <row r="328" spans="2:17" ht="15.75">
      <c r="B328" s="50" t="s">
        <v>594</v>
      </c>
      <c r="C328" s="149" t="s">
        <v>595</v>
      </c>
      <c r="D328" s="149" t="s">
        <v>16</v>
      </c>
      <c r="E328" s="150">
        <v>0</v>
      </c>
      <c r="F328" s="151">
        <v>13.552</v>
      </c>
      <c r="G328" s="151">
        <v>0</v>
      </c>
      <c r="H328" s="150"/>
      <c r="I328" s="150"/>
      <c r="J328" s="152">
        <v>11</v>
      </c>
      <c r="K328" s="152">
        <v>7.9</v>
      </c>
      <c r="L328" s="153">
        <v>28</v>
      </c>
      <c r="M328" s="155">
        <f>44.8*4*2</f>
        <v>358.4</v>
      </c>
      <c r="N328" s="14"/>
      <c r="P328"/>
      <c r="Q328"/>
    </row>
    <row r="329" spans="2:17" ht="15.75">
      <c r="B329" s="50" t="s">
        <v>596</v>
      </c>
      <c r="C329" s="149" t="s">
        <v>597</v>
      </c>
      <c r="D329" s="149" t="s">
        <v>16</v>
      </c>
      <c r="E329" s="150">
        <v>0</v>
      </c>
      <c r="F329" s="151">
        <v>33.033000000000001</v>
      </c>
      <c r="G329" s="151">
        <v>0</v>
      </c>
      <c r="H329" s="150"/>
      <c r="I329" s="150"/>
      <c r="J329" s="152">
        <v>15</v>
      </c>
      <c r="K329" s="152">
        <v>7.9</v>
      </c>
      <c r="L329" s="153">
        <v>50</v>
      </c>
      <c r="M329" s="155">
        <f>109.2*4*2</f>
        <v>873.6</v>
      </c>
      <c r="N329" s="14"/>
      <c r="P329"/>
      <c r="Q329"/>
    </row>
    <row r="330" spans="2:17" ht="15.75">
      <c r="B330" s="50" t="s">
        <v>598</v>
      </c>
      <c r="C330" s="149" t="s">
        <v>599</v>
      </c>
      <c r="D330" s="149" t="s">
        <v>16</v>
      </c>
      <c r="E330" s="150">
        <v>0</v>
      </c>
      <c r="F330" s="151">
        <v>9.0510000000000002</v>
      </c>
      <c r="G330" s="151">
        <v>0</v>
      </c>
      <c r="H330" s="150"/>
      <c r="I330" s="150"/>
      <c r="J330" s="152">
        <v>12.5</v>
      </c>
      <c r="K330" s="152">
        <v>5.9</v>
      </c>
      <c r="L330" s="153">
        <v>23</v>
      </c>
      <c r="M330" s="155">
        <f>29.921*4*2</f>
        <v>239.36799999999999</v>
      </c>
      <c r="N330" s="14"/>
      <c r="P330"/>
      <c r="Q330"/>
    </row>
    <row r="331" spans="2:17" ht="15.75">
      <c r="B331" s="50" t="s">
        <v>600</v>
      </c>
      <c r="C331" s="149"/>
      <c r="D331" s="149" t="s">
        <v>16</v>
      </c>
      <c r="E331" s="150">
        <v>0</v>
      </c>
      <c r="F331" s="151">
        <v>12.970999999999998</v>
      </c>
      <c r="G331" s="151">
        <v>0</v>
      </c>
      <c r="H331" s="150"/>
      <c r="I331" s="150"/>
      <c r="J331" s="152"/>
      <c r="K331" s="152"/>
      <c r="L331" s="153"/>
      <c r="M331" s="155"/>
      <c r="N331" s="14"/>
      <c r="P331"/>
      <c r="Q331"/>
    </row>
    <row r="332" spans="2:17" ht="15.75">
      <c r="B332" s="50" t="s">
        <v>601</v>
      </c>
      <c r="C332" s="149" t="s">
        <v>602</v>
      </c>
      <c r="D332" s="149" t="s">
        <v>16</v>
      </c>
      <c r="E332" s="150">
        <v>0</v>
      </c>
      <c r="F332" s="151">
        <v>4.1619999999999999</v>
      </c>
      <c r="G332" s="151">
        <v>0</v>
      </c>
      <c r="H332" s="150"/>
      <c r="I332" s="150"/>
      <c r="J332" s="152">
        <v>12.5</v>
      </c>
      <c r="K332" s="152">
        <v>6.3</v>
      </c>
      <c r="L332" s="153">
        <v>8</v>
      </c>
      <c r="M332" s="155">
        <f>13.759*4*2</f>
        <v>110.072</v>
      </c>
      <c r="N332" s="14"/>
      <c r="P332"/>
      <c r="Q332"/>
    </row>
    <row r="333" spans="2:17" ht="15.75">
      <c r="B333" s="50" t="s">
        <v>603</v>
      </c>
      <c r="C333" s="149" t="s">
        <v>604</v>
      </c>
      <c r="D333" s="149" t="s">
        <v>16</v>
      </c>
      <c r="E333" s="150">
        <v>0</v>
      </c>
      <c r="F333" s="151">
        <v>3.63</v>
      </c>
      <c r="G333" s="151">
        <v>0</v>
      </c>
      <c r="H333" s="150"/>
      <c r="I333" s="150"/>
      <c r="J333" s="152">
        <v>9</v>
      </c>
      <c r="K333" s="152">
        <v>4.9000000000000004</v>
      </c>
      <c r="L333" s="153">
        <v>8</v>
      </c>
      <c r="M333" s="155">
        <f>12*4*2</f>
        <v>96</v>
      </c>
      <c r="N333" s="14"/>
      <c r="P333"/>
      <c r="Q333"/>
    </row>
    <row r="334" spans="2:17" ht="15.75">
      <c r="B334" s="50" t="s">
        <v>605</v>
      </c>
      <c r="C334" s="149" t="s">
        <v>606</v>
      </c>
      <c r="D334" s="149" t="s">
        <v>16</v>
      </c>
      <c r="E334" s="150">
        <v>0</v>
      </c>
      <c r="F334" s="151">
        <v>7.0179999999999998</v>
      </c>
      <c r="G334" s="151">
        <v>0</v>
      </c>
      <c r="H334" s="150"/>
      <c r="I334" s="150"/>
      <c r="J334" s="152">
        <v>12</v>
      </c>
      <c r="K334" s="152">
        <v>6.3</v>
      </c>
      <c r="L334" s="153">
        <v>21</v>
      </c>
      <c r="M334" s="155">
        <f>23.2*4*2</f>
        <v>185.6</v>
      </c>
      <c r="N334" s="14"/>
      <c r="P334"/>
      <c r="Q334"/>
    </row>
    <row r="335" spans="2:17" ht="15.75">
      <c r="B335" s="50" t="s">
        <v>607</v>
      </c>
      <c r="C335" s="149" t="s">
        <v>608</v>
      </c>
      <c r="D335" s="149" t="s">
        <v>16</v>
      </c>
      <c r="E335" s="150">
        <v>0</v>
      </c>
      <c r="F335" s="151">
        <v>5.13</v>
      </c>
      <c r="G335" s="151">
        <v>0</v>
      </c>
      <c r="H335" s="150"/>
      <c r="I335" s="150"/>
      <c r="J335" s="152">
        <v>12</v>
      </c>
      <c r="K335" s="152">
        <v>6.9</v>
      </c>
      <c r="L335" s="153">
        <v>8</v>
      </c>
      <c r="M335" s="155">
        <f>16.959*4*2</f>
        <v>135.672</v>
      </c>
      <c r="N335" s="14"/>
      <c r="P335"/>
      <c r="Q335"/>
    </row>
    <row r="336" spans="2:17" ht="15.75">
      <c r="B336" s="50" t="s">
        <v>609</v>
      </c>
      <c r="C336" s="149" t="s">
        <v>610</v>
      </c>
      <c r="D336" s="149" t="s">
        <v>16</v>
      </c>
      <c r="E336" s="150">
        <v>0</v>
      </c>
      <c r="F336" s="151">
        <v>1.9359999999999999</v>
      </c>
      <c r="G336" s="151">
        <v>0</v>
      </c>
      <c r="H336" s="150"/>
      <c r="I336" s="150"/>
      <c r="J336" s="152">
        <v>8</v>
      </c>
      <c r="K336" s="152">
        <v>3.9</v>
      </c>
      <c r="L336" s="153">
        <v>9.5</v>
      </c>
      <c r="M336" s="155">
        <v>169</v>
      </c>
      <c r="N336" s="14"/>
      <c r="P336"/>
      <c r="Q336"/>
    </row>
    <row r="337" spans="2:17" ht="15.75">
      <c r="B337" s="50" t="s">
        <v>611</v>
      </c>
      <c r="C337" s="149" t="s">
        <v>612</v>
      </c>
      <c r="D337" s="149" t="s">
        <v>16</v>
      </c>
      <c r="E337" s="150">
        <v>0</v>
      </c>
      <c r="F337" s="151">
        <v>3.5819999999999999</v>
      </c>
      <c r="G337" s="151">
        <v>0</v>
      </c>
      <c r="H337" s="150"/>
      <c r="I337" s="150"/>
      <c r="J337" s="152">
        <v>9</v>
      </c>
      <c r="K337" s="152">
        <v>4.9000000000000004</v>
      </c>
      <c r="L337" s="153">
        <v>22.5</v>
      </c>
      <c r="M337" s="155">
        <v>126.86</v>
      </c>
      <c r="N337" s="14"/>
      <c r="P337"/>
      <c r="Q337"/>
    </row>
    <row r="338" spans="2:17" ht="15.75">
      <c r="B338" s="50" t="s">
        <v>613</v>
      </c>
      <c r="C338" s="149" t="s">
        <v>614</v>
      </c>
      <c r="D338" s="149" t="s">
        <v>16</v>
      </c>
      <c r="E338" s="150">
        <v>0</v>
      </c>
      <c r="F338" s="151">
        <v>8.8330000000000002</v>
      </c>
      <c r="G338" s="151">
        <v>0</v>
      </c>
      <c r="H338" s="150"/>
      <c r="I338" s="150"/>
      <c r="J338" s="152">
        <v>12</v>
      </c>
      <c r="K338" s="152">
        <v>6.3</v>
      </c>
      <c r="L338" s="153">
        <v>28</v>
      </c>
      <c r="M338" s="155">
        <f>29.2*4*2</f>
        <v>233.6</v>
      </c>
      <c r="N338" s="14"/>
      <c r="P338"/>
      <c r="Q338"/>
    </row>
    <row r="339" spans="2:17" ht="15.75">
      <c r="B339" s="50" t="s">
        <v>615</v>
      </c>
      <c r="C339" s="149" t="s">
        <v>616</v>
      </c>
      <c r="D339" s="149" t="s">
        <v>16</v>
      </c>
      <c r="E339" s="150">
        <v>0</v>
      </c>
      <c r="F339" s="151">
        <v>4.1870000000000003</v>
      </c>
      <c r="G339" s="151">
        <v>0</v>
      </c>
      <c r="H339" s="150"/>
      <c r="I339" s="150"/>
      <c r="J339" s="152">
        <v>12</v>
      </c>
      <c r="K339" s="152">
        <v>6.3</v>
      </c>
      <c r="L339" s="153">
        <v>12</v>
      </c>
      <c r="M339" s="155">
        <f>13.841*4*2</f>
        <v>110.72799999999999</v>
      </c>
      <c r="N339" s="14"/>
      <c r="P339"/>
      <c r="Q339"/>
    </row>
    <row r="340" spans="2:17" ht="15.75">
      <c r="B340" s="50" t="s">
        <v>617</v>
      </c>
      <c r="C340" s="149" t="s">
        <v>618</v>
      </c>
      <c r="D340" s="149" t="s">
        <v>16</v>
      </c>
      <c r="E340" s="150">
        <v>0</v>
      </c>
      <c r="F340" s="151">
        <v>7.5750000000000002</v>
      </c>
      <c r="G340" s="151">
        <v>0</v>
      </c>
      <c r="H340" s="150"/>
      <c r="I340" s="150"/>
      <c r="J340" s="152">
        <v>15</v>
      </c>
      <c r="K340" s="152">
        <v>7.9</v>
      </c>
      <c r="L340" s="153">
        <v>21</v>
      </c>
      <c r="M340" s="155">
        <f>25.041*4*2</f>
        <v>200.328</v>
      </c>
      <c r="N340" s="14"/>
      <c r="P340"/>
      <c r="Q340"/>
    </row>
    <row r="341" spans="2:17" ht="15.75">
      <c r="B341" s="50" t="s">
        <v>619</v>
      </c>
      <c r="C341" s="149" t="s">
        <v>620</v>
      </c>
      <c r="D341" s="149" t="s">
        <v>16</v>
      </c>
      <c r="E341" s="150">
        <v>0</v>
      </c>
      <c r="F341" s="151">
        <v>19.166</v>
      </c>
      <c r="G341" s="151">
        <v>0</v>
      </c>
      <c r="H341" s="150"/>
      <c r="I341" s="150"/>
      <c r="J341" s="152">
        <v>15</v>
      </c>
      <c r="K341" s="152">
        <v>8.9</v>
      </c>
      <c r="L341" s="153">
        <v>26</v>
      </c>
      <c r="M341" s="155">
        <f>63.359*4*2</f>
        <v>506.87200000000001</v>
      </c>
      <c r="N341" s="14"/>
      <c r="P341"/>
      <c r="Q341"/>
    </row>
    <row r="342" spans="2:17" ht="15.75">
      <c r="B342" s="50" t="s">
        <v>621</v>
      </c>
      <c r="C342" s="149" t="s">
        <v>622</v>
      </c>
      <c r="D342" s="149" t="s">
        <v>16</v>
      </c>
      <c r="E342" s="150">
        <v>9.6</v>
      </c>
      <c r="F342" s="151">
        <v>11.616</v>
      </c>
      <c r="G342" s="151">
        <v>0</v>
      </c>
      <c r="H342" s="150"/>
      <c r="I342" s="150"/>
      <c r="J342" s="152">
        <v>12.5</v>
      </c>
      <c r="K342" s="152">
        <v>7.9</v>
      </c>
      <c r="L342" s="153">
        <v>29</v>
      </c>
      <c r="M342" s="155">
        <f>38.4*4*2</f>
        <v>307.2</v>
      </c>
      <c r="N342" s="14"/>
      <c r="P342"/>
      <c r="Q342"/>
    </row>
    <row r="343" spans="2:17" ht="15.75">
      <c r="B343" s="50" t="s">
        <v>623</v>
      </c>
      <c r="C343" s="149" t="s">
        <v>624</v>
      </c>
      <c r="D343" s="149"/>
      <c r="E343" s="150"/>
      <c r="F343" s="151"/>
      <c r="G343" s="151"/>
      <c r="H343" s="150"/>
      <c r="I343" s="150"/>
      <c r="J343" s="152">
        <v>15</v>
      </c>
      <c r="K343" s="152">
        <v>7.9</v>
      </c>
      <c r="L343" s="153">
        <v>38</v>
      </c>
      <c r="M343" s="155">
        <v>316.8</v>
      </c>
      <c r="N343" s="14"/>
      <c r="P343"/>
      <c r="Q343"/>
    </row>
    <row r="344" spans="2:17" ht="16.5" thickBot="1">
      <c r="B344" s="52" t="s">
        <v>625</v>
      </c>
      <c r="C344" s="156" t="s">
        <v>626</v>
      </c>
      <c r="D344" s="156"/>
      <c r="E344" s="157"/>
      <c r="F344" s="158"/>
      <c r="G344" s="158"/>
      <c r="H344" s="157"/>
      <c r="I344" s="157"/>
      <c r="J344" s="161">
        <v>15</v>
      </c>
      <c r="K344" s="161">
        <v>8.9</v>
      </c>
      <c r="L344" s="159">
        <v>38.5</v>
      </c>
      <c r="M344" s="253">
        <v>790.16</v>
      </c>
      <c r="N344" s="17"/>
      <c r="P344"/>
      <c r="Q344"/>
    </row>
    <row r="345" spans="2:17">
      <c r="B345" s="13"/>
      <c r="C345" s="13"/>
      <c r="D345" s="13"/>
      <c r="E345" s="1"/>
      <c r="F345" s="3"/>
      <c r="G345" s="3"/>
      <c r="H345" s="1"/>
      <c r="I345" s="1"/>
      <c r="J345" s="1"/>
      <c r="K345" s="1"/>
      <c r="L345" s="1"/>
      <c r="P345" s="7"/>
      <c r="Q345" s="8"/>
    </row>
    <row r="346" spans="2:17" ht="13.5" thickBot="1">
      <c r="B346" s="13"/>
      <c r="C346" s="13"/>
      <c r="D346" s="13"/>
      <c r="E346" s="1"/>
      <c r="F346" s="3"/>
      <c r="G346" s="3"/>
      <c r="H346" s="1"/>
      <c r="I346" s="1"/>
      <c r="J346" s="1"/>
      <c r="K346" s="1"/>
      <c r="L346" s="1"/>
      <c r="P346" s="7"/>
      <c r="Q346" s="8"/>
    </row>
    <row r="347" spans="2:17" ht="12.75" customHeight="1">
      <c r="B347" s="397" t="s">
        <v>627</v>
      </c>
      <c r="C347" s="398"/>
      <c r="D347" s="398"/>
      <c r="E347" s="398"/>
      <c r="F347" s="398"/>
      <c r="G347" s="398"/>
      <c r="H347" s="398"/>
      <c r="I347" s="398"/>
      <c r="J347" s="398"/>
      <c r="K347" s="398"/>
      <c r="L347" s="398"/>
      <c r="M347" s="399"/>
      <c r="N347" s="303"/>
      <c r="P347"/>
      <c r="Q347"/>
    </row>
    <row r="348" spans="2:17" ht="12.75" customHeight="1">
      <c r="B348" s="400"/>
      <c r="C348" s="401"/>
      <c r="D348" s="401"/>
      <c r="E348" s="401"/>
      <c r="F348" s="401"/>
      <c r="G348" s="401"/>
      <c r="H348" s="401"/>
      <c r="I348" s="401"/>
      <c r="J348" s="401"/>
      <c r="K348" s="401"/>
      <c r="L348" s="401"/>
      <c r="M348" s="402"/>
      <c r="N348" s="304"/>
      <c r="P348"/>
      <c r="Q348"/>
    </row>
    <row r="349" spans="2:17" ht="30">
      <c r="B349" s="59" t="s">
        <v>6</v>
      </c>
      <c r="C349" s="60" t="s">
        <v>7</v>
      </c>
      <c r="D349" s="60"/>
      <c r="E349" s="80"/>
      <c r="F349" s="61"/>
      <c r="G349" s="61"/>
      <c r="H349" s="80"/>
      <c r="I349" s="80"/>
      <c r="J349" s="61" t="s">
        <v>628</v>
      </c>
      <c r="K349" s="61" t="s">
        <v>629</v>
      </c>
      <c r="L349" s="61" t="s">
        <v>9</v>
      </c>
      <c r="M349" s="62" t="s">
        <v>13</v>
      </c>
      <c r="N349" s="19"/>
      <c r="P349"/>
      <c r="Q349"/>
    </row>
    <row r="350" spans="2:17" ht="15.75">
      <c r="B350" s="57" t="s">
        <v>630</v>
      </c>
      <c r="C350" s="199" t="s">
        <v>631</v>
      </c>
      <c r="D350" s="199"/>
      <c r="E350" s="214"/>
      <c r="F350" s="201"/>
      <c r="G350" s="201"/>
      <c r="H350" s="214"/>
      <c r="I350" s="214"/>
      <c r="J350" s="215">
        <v>2</v>
      </c>
      <c r="K350" s="216">
        <v>31</v>
      </c>
      <c r="L350" s="215"/>
      <c r="M350" s="204"/>
      <c r="N350" s="14"/>
      <c r="P350"/>
      <c r="Q350"/>
    </row>
    <row r="351" spans="2:17" ht="15.75">
      <c r="B351" s="57" t="s">
        <v>632</v>
      </c>
      <c r="C351" s="199" t="s">
        <v>633</v>
      </c>
      <c r="D351" s="199" t="s">
        <v>16</v>
      </c>
      <c r="E351" s="214">
        <v>0</v>
      </c>
      <c r="F351" s="201">
        <v>20.811999999999998</v>
      </c>
      <c r="G351" s="201">
        <v>0</v>
      </c>
      <c r="H351" s="214"/>
      <c r="I351" s="214"/>
      <c r="J351" s="217">
        <v>2</v>
      </c>
      <c r="K351" s="218">
        <v>33</v>
      </c>
      <c r="L351" s="217"/>
      <c r="M351" s="204"/>
      <c r="N351" s="14"/>
      <c r="P351"/>
      <c r="Q351"/>
    </row>
    <row r="352" spans="2:17" ht="15.75">
      <c r="B352" s="57" t="s">
        <v>634</v>
      </c>
      <c r="C352" s="199" t="s">
        <v>635</v>
      </c>
      <c r="D352" s="199"/>
      <c r="E352" s="214"/>
      <c r="F352" s="201"/>
      <c r="G352" s="201"/>
      <c r="H352" s="214"/>
      <c r="I352" s="214"/>
      <c r="J352" s="217">
        <v>2</v>
      </c>
      <c r="K352" s="218">
        <v>36</v>
      </c>
      <c r="L352" s="217"/>
      <c r="M352" s="204"/>
      <c r="N352" s="14"/>
      <c r="P352"/>
      <c r="Q352"/>
    </row>
    <row r="353" spans="2:21" ht="15.75">
      <c r="B353" s="57" t="s">
        <v>636</v>
      </c>
      <c r="C353" s="199" t="s">
        <v>637</v>
      </c>
      <c r="D353" s="199" t="s">
        <v>16</v>
      </c>
      <c r="E353" s="214">
        <v>0</v>
      </c>
      <c r="F353" s="201">
        <v>80.343999999999994</v>
      </c>
      <c r="G353" s="201">
        <v>0</v>
      </c>
      <c r="H353" s="214"/>
      <c r="I353" s="214"/>
      <c r="J353" s="217">
        <v>1</v>
      </c>
      <c r="K353" s="218">
        <v>50</v>
      </c>
      <c r="L353" s="217">
        <v>8.5</v>
      </c>
      <c r="M353" s="219"/>
      <c r="N353" s="14"/>
      <c r="P353"/>
      <c r="Q353"/>
      <c r="R353" s="4" t="s">
        <v>638</v>
      </c>
      <c r="U353" s="34" t="s">
        <v>639</v>
      </c>
    </row>
    <row r="354" spans="2:21" ht="15.75">
      <c r="B354" s="57" t="s">
        <v>640</v>
      </c>
      <c r="C354" s="199" t="s">
        <v>641</v>
      </c>
      <c r="D354" s="199" t="s">
        <v>16</v>
      </c>
      <c r="E354" s="214">
        <v>0</v>
      </c>
      <c r="F354" s="201">
        <v>93.896000000000001</v>
      </c>
      <c r="G354" s="201">
        <v>0</v>
      </c>
      <c r="H354" s="214"/>
      <c r="I354" s="214"/>
      <c r="J354" s="217">
        <v>1</v>
      </c>
      <c r="K354" s="218">
        <v>52</v>
      </c>
      <c r="L354" s="217">
        <v>8.5</v>
      </c>
      <c r="M354" s="219"/>
      <c r="N354" s="14"/>
      <c r="P354"/>
      <c r="Q354"/>
    </row>
    <row r="355" spans="2:21" ht="15.75">
      <c r="B355" s="57" t="s">
        <v>642</v>
      </c>
      <c r="C355" s="199" t="s">
        <v>643</v>
      </c>
      <c r="D355" s="199" t="s">
        <v>16</v>
      </c>
      <c r="E355" s="214">
        <v>0</v>
      </c>
      <c r="F355" s="201">
        <v>98.01</v>
      </c>
      <c r="G355" s="201">
        <v>0</v>
      </c>
      <c r="H355" s="214"/>
      <c r="I355" s="214"/>
      <c r="J355" s="217">
        <v>1</v>
      </c>
      <c r="K355" s="218">
        <v>54</v>
      </c>
      <c r="L355" s="217">
        <v>8.5</v>
      </c>
      <c r="M355" s="219"/>
      <c r="N355" s="14"/>
      <c r="P355"/>
      <c r="Q355"/>
    </row>
    <row r="356" spans="2:21" ht="15.75">
      <c r="B356" s="57" t="s">
        <v>644</v>
      </c>
      <c r="C356" s="199" t="s">
        <v>645</v>
      </c>
      <c r="D356" s="199" t="s">
        <v>16</v>
      </c>
      <c r="E356" s="214">
        <v>0</v>
      </c>
      <c r="F356" s="201">
        <v>89.54</v>
      </c>
      <c r="G356" s="201">
        <v>0</v>
      </c>
      <c r="H356" s="214"/>
      <c r="I356" s="214"/>
      <c r="J356" s="217">
        <v>1</v>
      </c>
      <c r="K356" s="218">
        <v>57</v>
      </c>
      <c r="L356" s="217">
        <v>8.5</v>
      </c>
      <c r="M356" s="219"/>
      <c r="N356" s="14"/>
      <c r="P356"/>
      <c r="Q356"/>
    </row>
    <row r="357" spans="2:21" ht="15.75">
      <c r="B357" s="57" t="s">
        <v>646</v>
      </c>
      <c r="C357" s="199" t="s">
        <v>647</v>
      </c>
      <c r="D357" s="199" t="s">
        <v>16</v>
      </c>
      <c r="E357" s="214">
        <v>0</v>
      </c>
      <c r="F357" s="201">
        <v>17.980999999999998</v>
      </c>
      <c r="G357" s="201">
        <v>0</v>
      </c>
      <c r="H357" s="214"/>
      <c r="I357" s="214"/>
      <c r="J357" s="217">
        <v>2</v>
      </c>
      <c r="K357" s="218">
        <v>44</v>
      </c>
      <c r="L357" s="217"/>
      <c r="M357" s="204"/>
      <c r="N357" s="14"/>
      <c r="P357"/>
      <c r="Q357"/>
    </row>
    <row r="358" spans="2:21" ht="15.75">
      <c r="B358" s="57" t="s">
        <v>648</v>
      </c>
      <c r="C358" s="199" t="s">
        <v>649</v>
      </c>
      <c r="D358" s="199" t="s">
        <v>16</v>
      </c>
      <c r="E358" s="214">
        <v>0</v>
      </c>
      <c r="F358" s="201">
        <v>17.182000000000002</v>
      </c>
      <c r="G358" s="201">
        <v>0</v>
      </c>
      <c r="H358" s="214"/>
      <c r="I358" s="214"/>
      <c r="J358" s="217">
        <v>2</v>
      </c>
      <c r="K358" s="218">
        <v>48</v>
      </c>
      <c r="L358" s="217"/>
      <c r="M358" s="204"/>
      <c r="N358" s="14"/>
      <c r="P358"/>
      <c r="Q358"/>
      <c r="U358" s="34" t="s">
        <v>650</v>
      </c>
    </row>
    <row r="359" spans="2:21" ht="15.75">
      <c r="B359" s="57" t="s">
        <v>651</v>
      </c>
      <c r="C359" s="199" t="s">
        <v>652</v>
      </c>
      <c r="D359" s="199" t="s">
        <v>16</v>
      </c>
      <c r="E359" s="214">
        <v>0</v>
      </c>
      <c r="F359" s="201">
        <v>17.182000000000002</v>
      </c>
      <c r="G359" s="201">
        <v>0</v>
      </c>
      <c r="H359" s="214"/>
      <c r="I359" s="214"/>
      <c r="J359" s="217">
        <v>2</v>
      </c>
      <c r="K359" s="218">
        <v>45</v>
      </c>
      <c r="L359" s="217"/>
      <c r="M359" s="204"/>
      <c r="N359" s="14"/>
      <c r="P359"/>
      <c r="Q359"/>
    </row>
    <row r="360" spans="2:21" ht="15.75" thickBot="1">
      <c r="B360" s="58" t="s">
        <v>653</v>
      </c>
      <c r="C360" s="205" t="s">
        <v>654</v>
      </c>
      <c r="D360" s="205" t="s">
        <v>16</v>
      </c>
      <c r="E360" s="220">
        <v>0</v>
      </c>
      <c r="F360" s="207">
        <v>141.328</v>
      </c>
      <c r="G360" s="207">
        <v>0</v>
      </c>
      <c r="H360" s="220"/>
      <c r="I360" s="220"/>
      <c r="J360" s="221"/>
      <c r="K360" s="221"/>
      <c r="L360" s="221"/>
      <c r="M360" s="222"/>
      <c r="N360" s="17"/>
      <c r="P360"/>
      <c r="Q360"/>
      <c r="S360" s="12" t="s">
        <v>639</v>
      </c>
    </row>
    <row r="361" spans="2:21">
      <c r="B361" s="13"/>
      <c r="C361" s="13"/>
      <c r="D361" s="13"/>
      <c r="E361" s="1"/>
      <c r="F361" s="3"/>
      <c r="G361" s="3"/>
      <c r="H361" s="1"/>
      <c r="I361" s="1"/>
      <c r="J361" s="1"/>
      <c r="K361" s="1"/>
      <c r="L361" s="1"/>
      <c r="P361" s="7"/>
      <c r="Q361" s="8"/>
      <c r="T361" s="12"/>
    </row>
    <row r="362" spans="2:21" ht="13.5" thickBot="1">
      <c r="B362" s="13"/>
      <c r="C362" s="13"/>
      <c r="D362" s="13"/>
      <c r="E362" s="1"/>
      <c r="F362" s="3"/>
      <c r="G362" s="3"/>
      <c r="H362" s="1"/>
      <c r="I362" s="1"/>
      <c r="J362" s="1"/>
      <c r="K362" s="1"/>
      <c r="L362" s="1"/>
      <c r="P362" s="7"/>
      <c r="Q362" s="8"/>
    </row>
    <row r="363" spans="2:21" ht="12.75" customHeight="1">
      <c r="B363" s="403" t="s">
        <v>655</v>
      </c>
      <c r="C363" s="404"/>
      <c r="D363" s="404"/>
      <c r="E363" s="404"/>
      <c r="F363" s="404"/>
      <c r="G363" s="404"/>
      <c r="H363" s="404"/>
      <c r="I363" s="404"/>
      <c r="J363" s="404"/>
      <c r="K363" s="404"/>
      <c r="L363" s="404"/>
      <c r="M363" s="404"/>
      <c r="N363" s="28"/>
      <c r="P363"/>
      <c r="Q363"/>
    </row>
    <row r="364" spans="2:21" ht="12.75" customHeight="1">
      <c r="B364" s="405"/>
      <c r="C364" s="406"/>
      <c r="D364" s="406"/>
      <c r="E364" s="406"/>
      <c r="F364" s="406"/>
      <c r="G364" s="406"/>
      <c r="H364" s="406"/>
      <c r="I364" s="406"/>
      <c r="J364" s="406"/>
      <c r="K364" s="406"/>
      <c r="L364" s="406"/>
      <c r="M364" s="406"/>
      <c r="N364" s="29"/>
      <c r="P364"/>
      <c r="Q364"/>
    </row>
    <row r="365" spans="2:21" ht="30">
      <c r="B365" s="63" t="s">
        <v>6</v>
      </c>
      <c r="C365" s="64" t="s">
        <v>7</v>
      </c>
      <c r="D365" s="64"/>
      <c r="E365" s="65"/>
      <c r="F365" s="66"/>
      <c r="G365" s="66"/>
      <c r="H365" s="65"/>
      <c r="I365" s="65"/>
      <c r="J365" s="71" t="s">
        <v>8</v>
      </c>
      <c r="K365" s="71" t="s">
        <v>9</v>
      </c>
      <c r="L365" s="71" t="s">
        <v>337</v>
      </c>
      <c r="M365" s="73" t="s">
        <v>13</v>
      </c>
      <c r="N365" s="23"/>
      <c r="P365"/>
      <c r="Q365"/>
    </row>
    <row r="366" spans="2:21" ht="15">
      <c r="B366" s="63" t="s">
        <v>656</v>
      </c>
      <c r="C366" s="97" t="s">
        <v>657</v>
      </c>
      <c r="D366" s="97" t="s">
        <v>16</v>
      </c>
      <c r="E366" s="98">
        <v>0</v>
      </c>
      <c r="F366" s="99">
        <v>76.471999999999994</v>
      </c>
      <c r="G366" s="99">
        <v>0</v>
      </c>
      <c r="H366" s="98"/>
      <c r="I366" s="98"/>
      <c r="J366" s="98"/>
      <c r="K366" s="98"/>
      <c r="L366" s="98"/>
      <c r="M366" s="114"/>
      <c r="N366" s="14"/>
      <c r="P366"/>
      <c r="Q366"/>
    </row>
    <row r="367" spans="2:21" ht="15">
      <c r="B367" s="63" t="s">
        <v>658</v>
      </c>
      <c r="C367" s="97" t="s">
        <v>659</v>
      </c>
      <c r="D367" s="97" t="s">
        <v>16</v>
      </c>
      <c r="E367" s="98">
        <v>0</v>
      </c>
      <c r="F367" s="99">
        <v>70.664000000000001</v>
      </c>
      <c r="G367" s="99">
        <v>0</v>
      </c>
      <c r="H367" s="98"/>
      <c r="I367" s="98"/>
      <c r="J367" s="98"/>
      <c r="K367" s="98"/>
      <c r="L367" s="98"/>
      <c r="M367" s="115"/>
      <c r="N367" s="14"/>
      <c r="P367"/>
      <c r="Q367"/>
    </row>
    <row r="368" spans="2:21" ht="15.75" thickBot="1">
      <c r="B368" s="67" t="s">
        <v>660</v>
      </c>
      <c r="C368" s="108" t="s">
        <v>661</v>
      </c>
      <c r="D368" s="108" t="s">
        <v>16</v>
      </c>
      <c r="E368" s="109">
        <v>0</v>
      </c>
      <c r="F368" s="110">
        <v>23.353000000000002</v>
      </c>
      <c r="G368" s="110">
        <v>0</v>
      </c>
      <c r="H368" s="109"/>
      <c r="I368" s="109"/>
      <c r="J368" s="109"/>
      <c r="K368" s="109"/>
      <c r="L368" s="109"/>
      <c r="M368" s="116"/>
      <c r="N368" s="17"/>
      <c r="P368"/>
      <c r="Q368"/>
    </row>
    <row r="369" spans="2:19">
      <c r="B369" s="13"/>
      <c r="C369" s="13"/>
      <c r="D369" s="13" t="s">
        <v>16</v>
      </c>
      <c r="E369" s="1">
        <v>0</v>
      </c>
      <c r="F369" s="3">
        <v>36.299999999999997</v>
      </c>
      <c r="G369" s="3">
        <v>0</v>
      </c>
      <c r="H369" s="1"/>
      <c r="I369" s="1"/>
      <c r="J369" s="1"/>
      <c r="K369" s="1"/>
      <c r="L369" s="1"/>
      <c r="P369" s="7">
        <f t="shared" ref="P369:P383" si="5">+(F369/1.21)*2</f>
        <v>60</v>
      </c>
      <c r="Q369" s="8"/>
    </row>
    <row r="370" spans="2:19" ht="13.5" thickBot="1">
      <c r="B370" s="13"/>
      <c r="C370" s="13"/>
      <c r="D370" s="13"/>
      <c r="E370" s="1"/>
      <c r="F370" s="3"/>
      <c r="G370" s="3"/>
      <c r="H370" s="1"/>
      <c r="I370" s="1"/>
      <c r="J370" s="1"/>
      <c r="K370" s="1"/>
      <c r="L370" s="1"/>
      <c r="P370" s="7"/>
      <c r="Q370" s="8"/>
    </row>
    <row r="371" spans="2:19" ht="12.75" customHeight="1">
      <c r="B371" s="352" t="s">
        <v>662</v>
      </c>
      <c r="C371" s="380"/>
      <c r="D371" s="380"/>
      <c r="E371" s="380"/>
      <c r="F371" s="380"/>
      <c r="G371" s="380"/>
      <c r="H371" s="380"/>
      <c r="I371" s="380"/>
      <c r="J371" s="380"/>
      <c r="K371" s="380"/>
      <c r="L371" s="380"/>
      <c r="M371" s="380"/>
      <c r="N371" s="380"/>
      <c r="O371" s="380"/>
      <c r="P371" s="380"/>
      <c r="Q371" s="380"/>
      <c r="R371" s="380"/>
      <c r="S371" s="381"/>
    </row>
    <row r="372" spans="2:19" ht="12.75" customHeight="1">
      <c r="B372" s="382"/>
      <c r="C372" s="383"/>
      <c r="D372" s="383"/>
      <c r="E372" s="383"/>
      <c r="F372" s="383"/>
      <c r="G372" s="383"/>
      <c r="H372" s="383"/>
      <c r="I372" s="383"/>
      <c r="J372" s="383"/>
      <c r="K372" s="383"/>
      <c r="L372" s="383"/>
      <c r="M372" s="383"/>
      <c r="N372" s="383"/>
      <c r="O372" s="383"/>
      <c r="P372" s="383"/>
      <c r="Q372" s="383"/>
      <c r="R372" s="383"/>
      <c r="S372" s="384"/>
    </row>
    <row r="373" spans="2:19" ht="30">
      <c r="B373" s="82" t="s">
        <v>6</v>
      </c>
      <c r="C373" s="42" t="s">
        <v>7</v>
      </c>
      <c r="D373" s="42" t="s">
        <v>16</v>
      </c>
      <c r="E373" s="83">
        <v>0</v>
      </c>
      <c r="F373" s="84">
        <v>39.93</v>
      </c>
      <c r="G373" s="84">
        <v>0</v>
      </c>
      <c r="H373" s="83"/>
      <c r="I373" s="83"/>
      <c r="J373" s="84" t="s">
        <v>629</v>
      </c>
      <c r="K373" s="84" t="s">
        <v>663</v>
      </c>
      <c r="L373" s="84" t="s">
        <v>337</v>
      </c>
      <c r="M373" s="84" t="s">
        <v>664</v>
      </c>
      <c r="N373" s="42"/>
      <c r="O373" s="84" t="s">
        <v>665</v>
      </c>
      <c r="P373" s="81">
        <f t="shared" si="5"/>
        <v>66</v>
      </c>
      <c r="Q373" s="85" t="s">
        <v>666</v>
      </c>
      <c r="R373" s="42" t="s">
        <v>667</v>
      </c>
      <c r="S373" s="43" t="s">
        <v>13</v>
      </c>
    </row>
    <row r="374" spans="2:19" ht="15.75">
      <c r="B374" s="39" t="s">
        <v>668</v>
      </c>
      <c r="C374" s="163" t="s">
        <v>669</v>
      </c>
      <c r="D374" s="163" t="s">
        <v>16</v>
      </c>
      <c r="E374" s="187">
        <v>0</v>
      </c>
      <c r="F374" s="174">
        <v>10.842000000000001</v>
      </c>
      <c r="G374" s="174">
        <v>0</v>
      </c>
      <c r="H374" s="187"/>
      <c r="I374" s="187"/>
      <c r="J374" s="188">
        <v>5.5</v>
      </c>
      <c r="K374" s="166">
        <v>7</v>
      </c>
      <c r="L374" s="166">
        <v>7</v>
      </c>
      <c r="M374" s="166">
        <v>9.5</v>
      </c>
      <c r="N374" s="166"/>
      <c r="O374" s="166">
        <v>6.3</v>
      </c>
      <c r="P374" s="175">
        <f t="shared" si="5"/>
        <v>17.920661157024796</v>
      </c>
      <c r="Q374" s="189" t="s">
        <v>670</v>
      </c>
      <c r="R374" s="163" t="s">
        <v>671</v>
      </c>
      <c r="S374" s="190">
        <v>378</v>
      </c>
    </row>
    <row r="375" spans="2:19" ht="15.75">
      <c r="B375" s="39" t="s">
        <v>672</v>
      </c>
      <c r="C375" s="163" t="s">
        <v>673</v>
      </c>
      <c r="D375" s="163" t="s">
        <v>16</v>
      </c>
      <c r="E375" s="187">
        <v>0</v>
      </c>
      <c r="F375" s="174">
        <v>10.842000000000001</v>
      </c>
      <c r="G375" s="174">
        <v>0</v>
      </c>
      <c r="H375" s="187"/>
      <c r="I375" s="187"/>
      <c r="J375" s="188">
        <v>5.5</v>
      </c>
      <c r="K375" s="166">
        <v>6.5</v>
      </c>
      <c r="L375" s="166">
        <v>8</v>
      </c>
      <c r="M375" s="166">
        <v>9.5</v>
      </c>
      <c r="N375" s="166"/>
      <c r="O375" s="166">
        <v>6.3</v>
      </c>
      <c r="P375" s="175">
        <f t="shared" si="5"/>
        <v>17.920661157024796</v>
      </c>
      <c r="Q375" s="189" t="s">
        <v>674</v>
      </c>
      <c r="R375" s="163" t="s">
        <v>671</v>
      </c>
      <c r="S375" s="190">
        <v>378</v>
      </c>
    </row>
    <row r="376" spans="2:19" ht="15.75">
      <c r="B376" s="39" t="s">
        <v>675</v>
      </c>
      <c r="C376" s="163" t="s">
        <v>676</v>
      </c>
      <c r="D376" s="163" t="s">
        <v>16</v>
      </c>
      <c r="E376" s="187">
        <v>0</v>
      </c>
      <c r="F376" s="174">
        <v>11.084000000000001</v>
      </c>
      <c r="G376" s="174">
        <v>0</v>
      </c>
      <c r="H376" s="187"/>
      <c r="I376" s="187"/>
      <c r="J376" s="188">
        <v>6</v>
      </c>
      <c r="K376" s="166">
        <v>7</v>
      </c>
      <c r="L376" s="166">
        <v>7</v>
      </c>
      <c r="M376" s="166">
        <v>9.5</v>
      </c>
      <c r="N376" s="166"/>
      <c r="O376" s="166">
        <v>6.3</v>
      </c>
      <c r="P376" s="175">
        <f t="shared" si="5"/>
        <v>18.320661157024798</v>
      </c>
      <c r="Q376" s="189" t="s">
        <v>670</v>
      </c>
      <c r="R376" s="163" t="s">
        <v>671</v>
      </c>
      <c r="S376" s="190">
        <v>394</v>
      </c>
    </row>
    <row r="377" spans="2:19" ht="15.75">
      <c r="B377" s="39" t="s">
        <v>677</v>
      </c>
      <c r="C377" s="163" t="s">
        <v>678</v>
      </c>
      <c r="D377" s="163" t="s">
        <v>16</v>
      </c>
      <c r="E377" s="187">
        <v>0</v>
      </c>
      <c r="F377" s="174">
        <v>11.084000000000001</v>
      </c>
      <c r="G377" s="174">
        <v>0</v>
      </c>
      <c r="H377" s="187"/>
      <c r="I377" s="187"/>
      <c r="J377" s="188">
        <v>6</v>
      </c>
      <c r="K377" s="166">
        <v>6.5</v>
      </c>
      <c r="L377" s="166">
        <v>8</v>
      </c>
      <c r="M377" s="166">
        <v>9.5</v>
      </c>
      <c r="N377" s="166"/>
      <c r="O377" s="166">
        <v>6.3</v>
      </c>
      <c r="P377" s="175">
        <f t="shared" si="5"/>
        <v>18.320661157024798</v>
      </c>
      <c r="Q377" s="189" t="s">
        <v>674</v>
      </c>
      <c r="R377" s="163" t="s">
        <v>671</v>
      </c>
      <c r="S377" s="190">
        <v>394</v>
      </c>
    </row>
    <row r="378" spans="2:19" ht="15.75">
      <c r="B378" s="39" t="s">
        <v>679</v>
      </c>
      <c r="C378" s="163" t="s">
        <v>680</v>
      </c>
      <c r="D378" s="163" t="s">
        <v>16</v>
      </c>
      <c r="E378" s="187">
        <v>0</v>
      </c>
      <c r="F378" s="174">
        <v>13.939</v>
      </c>
      <c r="G378" s="174">
        <v>0</v>
      </c>
      <c r="H378" s="187"/>
      <c r="I378" s="187"/>
      <c r="J378" s="188">
        <v>6.5</v>
      </c>
      <c r="K378" s="166">
        <v>7</v>
      </c>
      <c r="L378" s="166">
        <v>7</v>
      </c>
      <c r="M378" s="166">
        <v>9.5</v>
      </c>
      <c r="N378" s="166"/>
      <c r="O378" s="166">
        <v>6.3</v>
      </c>
      <c r="P378" s="175">
        <f t="shared" si="5"/>
        <v>23.039669421487606</v>
      </c>
      <c r="Q378" s="189" t="s">
        <v>670</v>
      </c>
      <c r="R378" s="163" t="s">
        <v>671</v>
      </c>
      <c r="S378" s="190">
        <v>394</v>
      </c>
    </row>
    <row r="379" spans="2:19" ht="15.75">
      <c r="B379" s="39" t="s">
        <v>681</v>
      </c>
      <c r="C379" s="163" t="s">
        <v>682</v>
      </c>
      <c r="D379" s="163" t="s">
        <v>16</v>
      </c>
      <c r="E379" s="187">
        <v>0</v>
      </c>
      <c r="F379" s="174">
        <v>11.155999999999999</v>
      </c>
      <c r="G379" s="174">
        <v>0</v>
      </c>
      <c r="H379" s="187"/>
      <c r="I379" s="187"/>
      <c r="J379" s="188">
        <v>6.5</v>
      </c>
      <c r="K379" s="166">
        <v>6.5</v>
      </c>
      <c r="L379" s="166">
        <v>8</v>
      </c>
      <c r="M379" s="166">
        <v>9.5</v>
      </c>
      <c r="N379" s="166"/>
      <c r="O379" s="166">
        <v>6.3</v>
      </c>
      <c r="P379" s="175">
        <f t="shared" si="5"/>
        <v>18.439669421487601</v>
      </c>
      <c r="Q379" s="189" t="s">
        <v>674</v>
      </c>
      <c r="R379" s="163" t="s">
        <v>671</v>
      </c>
      <c r="S379" s="190">
        <v>394</v>
      </c>
    </row>
    <row r="380" spans="2:19" ht="15.75">
      <c r="B380" s="39" t="s">
        <v>683</v>
      </c>
      <c r="C380" s="163" t="s">
        <v>684</v>
      </c>
      <c r="D380" s="163" t="s">
        <v>16</v>
      </c>
      <c r="E380" s="187">
        <v>0</v>
      </c>
      <c r="F380" s="174">
        <v>11.155999999999999</v>
      </c>
      <c r="G380" s="174">
        <v>0</v>
      </c>
      <c r="H380" s="187"/>
      <c r="I380" s="187"/>
      <c r="J380" s="188">
        <v>7</v>
      </c>
      <c r="K380" s="166">
        <v>7</v>
      </c>
      <c r="L380" s="166">
        <v>7</v>
      </c>
      <c r="M380" s="166">
        <v>9.5</v>
      </c>
      <c r="N380" s="166"/>
      <c r="O380" s="166">
        <v>6.3</v>
      </c>
      <c r="P380" s="175">
        <f t="shared" si="5"/>
        <v>18.439669421487601</v>
      </c>
      <c r="Q380" s="189" t="s">
        <v>670</v>
      </c>
      <c r="R380" s="163" t="s">
        <v>671</v>
      </c>
      <c r="S380" s="193">
        <v>406</v>
      </c>
    </row>
    <row r="381" spans="2:19" ht="15.75">
      <c r="B381" s="39" t="s">
        <v>685</v>
      </c>
      <c r="C381" s="163" t="s">
        <v>686</v>
      </c>
      <c r="D381" s="163" t="s">
        <v>16</v>
      </c>
      <c r="E381" s="187">
        <v>0</v>
      </c>
      <c r="F381" s="174">
        <v>11.155999999999999</v>
      </c>
      <c r="G381" s="174">
        <v>0</v>
      </c>
      <c r="H381" s="187"/>
      <c r="I381" s="187"/>
      <c r="J381" s="188">
        <v>7</v>
      </c>
      <c r="K381" s="166">
        <v>6.5</v>
      </c>
      <c r="L381" s="166">
        <v>8</v>
      </c>
      <c r="M381" s="166">
        <v>9.5</v>
      </c>
      <c r="N381" s="166"/>
      <c r="O381" s="166">
        <v>6.3</v>
      </c>
      <c r="P381" s="175">
        <f t="shared" si="5"/>
        <v>18.439669421487601</v>
      </c>
      <c r="Q381" s="189" t="s">
        <v>674</v>
      </c>
      <c r="R381" s="163" t="s">
        <v>671</v>
      </c>
      <c r="S381" s="190">
        <v>406</v>
      </c>
    </row>
    <row r="382" spans="2:19" ht="15.75">
      <c r="B382" s="39" t="s">
        <v>687</v>
      </c>
      <c r="C382" s="163" t="s">
        <v>688</v>
      </c>
      <c r="D382" s="163" t="s">
        <v>16</v>
      </c>
      <c r="E382" s="187">
        <v>0</v>
      </c>
      <c r="F382" s="174">
        <v>11.277000000000001</v>
      </c>
      <c r="G382" s="174">
        <v>0</v>
      </c>
      <c r="H382" s="187"/>
      <c r="I382" s="187"/>
      <c r="J382" s="188">
        <v>7.5</v>
      </c>
      <c r="K382" s="166">
        <v>7</v>
      </c>
      <c r="L382" s="166">
        <v>7</v>
      </c>
      <c r="M382" s="166">
        <v>9.5</v>
      </c>
      <c r="N382" s="166"/>
      <c r="O382" s="166">
        <v>6.3</v>
      </c>
      <c r="P382" s="175">
        <f t="shared" si="5"/>
        <v>18.639669421487607</v>
      </c>
      <c r="Q382" s="189" t="s">
        <v>670</v>
      </c>
      <c r="R382" s="163" t="s">
        <v>671</v>
      </c>
      <c r="S382" s="190">
        <v>410</v>
      </c>
    </row>
    <row r="383" spans="2:19" ht="15.75">
      <c r="B383" s="39" t="s">
        <v>689</v>
      </c>
      <c r="C383" s="163" t="s">
        <v>688</v>
      </c>
      <c r="D383" s="163" t="s">
        <v>16</v>
      </c>
      <c r="E383" s="187">
        <v>0</v>
      </c>
      <c r="F383" s="174">
        <v>11.277000000000001</v>
      </c>
      <c r="G383" s="174">
        <v>0</v>
      </c>
      <c r="H383" s="187"/>
      <c r="I383" s="187"/>
      <c r="J383" s="188">
        <v>7.5</v>
      </c>
      <c r="K383" s="166">
        <v>6.5</v>
      </c>
      <c r="L383" s="166">
        <v>8</v>
      </c>
      <c r="M383" s="166">
        <v>9.5</v>
      </c>
      <c r="N383" s="166"/>
      <c r="O383" s="166">
        <v>6.3</v>
      </c>
      <c r="P383" s="175">
        <f t="shared" si="5"/>
        <v>18.639669421487607</v>
      </c>
      <c r="Q383" s="189" t="s">
        <v>674</v>
      </c>
      <c r="R383" s="163" t="s">
        <v>671</v>
      </c>
      <c r="S383" s="190">
        <v>410</v>
      </c>
    </row>
    <row r="384" spans="2:19" ht="15.75">
      <c r="B384" s="39" t="s">
        <v>690</v>
      </c>
      <c r="C384" s="163" t="s">
        <v>691</v>
      </c>
      <c r="D384" s="163" t="s">
        <v>16</v>
      </c>
      <c r="E384" s="187">
        <v>0</v>
      </c>
      <c r="F384" s="174">
        <v>11.374000000000001</v>
      </c>
      <c r="G384" s="174">
        <v>0</v>
      </c>
      <c r="H384" s="187"/>
      <c r="I384" s="187"/>
      <c r="J384" s="188">
        <v>8</v>
      </c>
      <c r="K384" s="166">
        <v>7</v>
      </c>
      <c r="L384" s="166">
        <v>7</v>
      </c>
      <c r="M384" s="166">
        <v>9.5</v>
      </c>
      <c r="N384" s="166"/>
      <c r="O384" s="166">
        <v>6.3</v>
      </c>
      <c r="P384" s="175">
        <f t="shared" ref="P384:P419" si="6">+(F384/1.21)*2</f>
        <v>18.8</v>
      </c>
      <c r="Q384" s="189" t="s">
        <v>670</v>
      </c>
      <c r="R384" s="163" t="s">
        <v>671</v>
      </c>
      <c r="S384" s="190">
        <v>418</v>
      </c>
    </row>
    <row r="385" spans="2:20" ht="15.75">
      <c r="B385" s="39" t="s">
        <v>692</v>
      </c>
      <c r="C385" s="163" t="s">
        <v>693</v>
      </c>
      <c r="D385" s="163" t="s">
        <v>16</v>
      </c>
      <c r="E385" s="187">
        <v>0</v>
      </c>
      <c r="F385" s="174">
        <v>11.374000000000001</v>
      </c>
      <c r="G385" s="174">
        <v>0</v>
      </c>
      <c r="H385" s="187"/>
      <c r="I385" s="187"/>
      <c r="J385" s="188">
        <v>8</v>
      </c>
      <c r="K385" s="166">
        <v>6.5</v>
      </c>
      <c r="L385" s="166">
        <v>8</v>
      </c>
      <c r="M385" s="166">
        <v>9.5</v>
      </c>
      <c r="N385" s="166"/>
      <c r="O385" s="166">
        <v>6.3</v>
      </c>
      <c r="P385" s="175">
        <f t="shared" si="6"/>
        <v>18.8</v>
      </c>
      <c r="Q385" s="189" t="s">
        <v>674</v>
      </c>
      <c r="R385" s="163" t="s">
        <v>671</v>
      </c>
      <c r="S385" s="190">
        <v>418</v>
      </c>
    </row>
    <row r="386" spans="2:20" ht="15.75">
      <c r="B386" s="39" t="s">
        <v>694</v>
      </c>
      <c r="C386" s="163" t="s">
        <v>695</v>
      </c>
      <c r="D386" s="163" t="s">
        <v>16</v>
      </c>
      <c r="E386" s="187">
        <v>0</v>
      </c>
      <c r="F386" s="174">
        <v>11.568</v>
      </c>
      <c r="G386" s="174">
        <v>0</v>
      </c>
      <c r="H386" s="187"/>
      <c r="I386" s="187"/>
      <c r="J386" s="188">
        <v>9</v>
      </c>
      <c r="K386" s="166">
        <v>7</v>
      </c>
      <c r="L386" s="166">
        <v>7</v>
      </c>
      <c r="M386" s="166">
        <v>9.5</v>
      </c>
      <c r="N386" s="166"/>
      <c r="O386" s="166">
        <v>6.3</v>
      </c>
      <c r="P386" s="175">
        <f t="shared" si="6"/>
        <v>19.120661157024795</v>
      </c>
      <c r="Q386" s="189" t="s">
        <v>670</v>
      </c>
      <c r="R386" s="163" t="s">
        <v>671</v>
      </c>
      <c r="S386" s="190">
        <v>424</v>
      </c>
    </row>
    <row r="387" spans="2:20" ht="15.75">
      <c r="B387" s="39" t="s">
        <v>696</v>
      </c>
      <c r="C387" s="163" t="s">
        <v>697</v>
      </c>
      <c r="D387" s="163" t="s">
        <v>16</v>
      </c>
      <c r="E387" s="187">
        <v>0</v>
      </c>
      <c r="F387" s="174">
        <v>11.568</v>
      </c>
      <c r="G387" s="174">
        <v>0</v>
      </c>
      <c r="H387" s="187"/>
      <c r="I387" s="187"/>
      <c r="J387" s="188">
        <v>9</v>
      </c>
      <c r="K387" s="166">
        <v>6.5</v>
      </c>
      <c r="L387" s="166">
        <v>8</v>
      </c>
      <c r="M387" s="166">
        <v>9.5</v>
      </c>
      <c r="N387" s="166"/>
      <c r="O387" s="166">
        <v>6.3</v>
      </c>
      <c r="P387" s="175">
        <f t="shared" si="6"/>
        <v>19.120661157024795</v>
      </c>
      <c r="Q387" s="189" t="s">
        <v>674</v>
      </c>
      <c r="R387" s="163" t="s">
        <v>671</v>
      </c>
      <c r="S387" s="190">
        <v>424</v>
      </c>
    </row>
    <row r="388" spans="2:20" ht="15.75">
      <c r="B388" s="39" t="s">
        <v>698</v>
      </c>
      <c r="C388" s="163" t="s">
        <v>699</v>
      </c>
      <c r="D388" s="163" t="s">
        <v>16</v>
      </c>
      <c r="E388" s="187">
        <v>0</v>
      </c>
      <c r="F388" s="174">
        <v>11.664000000000001</v>
      </c>
      <c r="G388" s="174">
        <v>0</v>
      </c>
      <c r="H388" s="187"/>
      <c r="I388" s="187"/>
      <c r="J388" s="188">
        <v>5.5</v>
      </c>
      <c r="K388" s="166">
        <v>7</v>
      </c>
      <c r="L388" s="166">
        <v>7</v>
      </c>
      <c r="M388" s="166">
        <v>11</v>
      </c>
      <c r="N388" s="166"/>
      <c r="O388" s="166">
        <v>6.8</v>
      </c>
      <c r="P388" s="175">
        <f t="shared" si="6"/>
        <v>19.279338842975211</v>
      </c>
      <c r="Q388" s="189" t="s">
        <v>670</v>
      </c>
      <c r="R388" s="163" t="s">
        <v>671</v>
      </c>
      <c r="S388" s="190">
        <v>490</v>
      </c>
    </row>
    <row r="389" spans="2:20" ht="15.75">
      <c r="B389" s="39" t="s">
        <v>700</v>
      </c>
      <c r="C389" s="163" t="s">
        <v>701</v>
      </c>
      <c r="D389" s="163" t="s">
        <v>16</v>
      </c>
      <c r="E389" s="187">
        <v>0</v>
      </c>
      <c r="F389" s="174">
        <v>11.664000000000001</v>
      </c>
      <c r="G389" s="174">
        <v>0</v>
      </c>
      <c r="H389" s="187"/>
      <c r="I389" s="187"/>
      <c r="J389" s="188">
        <v>6</v>
      </c>
      <c r="K389" s="166">
        <v>7</v>
      </c>
      <c r="L389" s="166">
        <v>7</v>
      </c>
      <c r="M389" s="166">
        <v>11</v>
      </c>
      <c r="N389" s="166"/>
      <c r="O389" s="166">
        <v>6.8</v>
      </c>
      <c r="P389" s="175">
        <f t="shared" si="6"/>
        <v>19.279338842975211</v>
      </c>
      <c r="Q389" s="189" t="s">
        <v>670</v>
      </c>
      <c r="R389" s="163" t="s">
        <v>671</v>
      </c>
      <c r="S389" s="190">
        <v>504</v>
      </c>
    </row>
    <row r="390" spans="2:20" ht="15.75">
      <c r="B390" s="39" t="s">
        <v>702</v>
      </c>
      <c r="C390" s="163" t="s">
        <v>703</v>
      </c>
      <c r="D390" s="163" t="s">
        <v>16</v>
      </c>
      <c r="E390" s="187">
        <v>0</v>
      </c>
      <c r="F390" s="174">
        <v>11.664000000000001</v>
      </c>
      <c r="G390" s="174">
        <v>0</v>
      </c>
      <c r="H390" s="187"/>
      <c r="I390" s="187"/>
      <c r="J390" s="188">
        <v>7</v>
      </c>
      <c r="K390" s="166">
        <v>7</v>
      </c>
      <c r="L390" s="166">
        <v>7</v>
      </c>
      <c r="M390" s="166">
        <v>11</v>
      </c>
      <c r="N390" s="166"/>
      <c r="O390" s="166">
        <v>6.8</v>
      </c>
      <c r="P390" s="175">
        <f t="shared" si="6"/>
        <v>19.279338842975211</v>
      </c>
      <c r="Q390" s="189" t="s">
        <v>670</v>
      </c>
      <c r="R390" s="163" t="s">
        <v>671</v>
      </c>
      <c r="S390" s="190">
        <v>530</v>
      </c>
    </row>
    <row r="391" spans="2:20" ht="15.75">
      <c r="B391" s="39" t="s">
        <v>704</v>
      </c>
      <c r="C391" s="163" t="s">
        <v>705</v>
      </c>
      <c r="D391" s="163" t="s">
        <v>16</v>
      </c>
      <c r="E391" s="187">
        <v>0</v>
      </c>
      <c r="F391" s="174">
        <v>13.02</v>
      </c>
      <c r="G391" s="174">
        <v>0</v>
      </c>
      <c r="H391" s="187"/>
      <c r="I391" s="187"/>
      <c r="J391" s="188">
        <v>9.5</v>
      </c>
      <c r="K391" s="166">
        <v>6.5</v>
      </c>
      <c r="L391" s="166">
        <v>8</v>
      </c>
      <c r="M391" s="166">
        <v>9.5</v>
      </c>
      <c r="N391" s="166"/>
      <c r="O391" s="166">
        <v>6.3</v>
      </c>
      <c r="P391" s="175">
        <f t="shared" si="6"/>
        <v>21.520661157024794</v>
      </c>
      <c r="Q391" s="189" t="s">
        <v>674</v>
      </c>
      <c r="R391" s="163" t="s">
        <v>671</v>
      </c>
      <c r="S391" s="190">
        <v>450</v>
      </c>
    </row>
    <row r="392" spans="2:20" ht="15.75">
      <c r="B392" s="39" t="s">
        <v>706</v>
      </c>
      <c r="C392" s="163" t="s">
        <v>707</v>
      </c>
      <c r="D392" s="163" t="s">
        <v>16</v>
      </c>
      <c r="E392" s="187">
        <v>41.22</v>
      </c>
      <c r="F392" s="174">
        <v>49.876000000000005</v>
      </c>
      <c r="G392" s="174">
        <v>0</v>
      </c>
      <c r="H392" s="187"/>
      <c r="I392" s="187"/>
      <c r="J392" s="188">
        <v>14</v>
      </c>
      <c r="K392" s="166">
        <v>7</v>
      </c>
      <c r="L392" s="166">
        <v>7</v>
      </c>
      <c r="M392" s="166">
        <v>16</v>
      </c>
      <c r="N392" s="166"/>
      <c r="O392" s="166">
        <v>8.5</v>
      </c>
      <c r="P392" s="175">
        <f t="shared" si="6"/>
        <v>82.439669421487608</v>
      </c>
      <c r="Q392" s="189" t="s">
        <v>670</v>
      </c>
      <c r="R392" s="163" t="s">
        <v>708</v>
      </c>
      <c r="S392" s="191">
        <v>1400</v>
      </c>
    </row>
    <row r="393" spans="2:20" ht="15.75">
      <c r="B393" s="39" t="s">
        <v>709</v>
      </c>
      <c r="C393" s="163" t="s">
        <v>710</v>
      </c>
      <c r="D393" s="163" t="s">
        <v>16</v>
      </c>
      <c r="E393" s="187">
        <v>41.22</v>
      </c>
      <c r="F393" s="174">
        <v>49.876000000000005</v>
      </c>
      <c r="G393" s="174">
        <v>0</v>
      </c>
      <c r="H393" s="187"/>
      <c r="I393" s="187"/>
      <c r="J393" s="188">
        <v>14</v>
      </c>
      <c r="K393" s="166">
        <v>7</v>
      </c>
      <c r="L393" s="166">
        <v>7</v>
      </c>
      <c r="M393" s="166">
        <v>16</v>
      </c>
      <c r="N393" s="166"/>
      <c r="O393" s="166">
        <v>8.5</v>
      </c>
      <c r="P393" s="175">
        <f t="shared" si="6"/>
        <v>82.439669421487608</v>
      </c>
      <c r="Q393" s="189" t="s">
        <v>670</v>
      </c>
      <c r="R393" s="163" t="s">
        <v>671</v>
      </c>
      <c r="S393" s="191">
        <v>1400</v>
      </c>
    </row>
    <row r="394" spans="2:20" ht="15.75">
      <c r="B394" s="39" t="s">
        <v>711</v>
      </c>
      <c r="C394" s="163" t="s">
        <v>712</v>
      </c>
      <c r="D394" s="163" t="s">
        <v>16</v>
      </c>
      <c r="E394" s="187">
        <v>0</v>
      </c>
      <c r="F394" s="174">
        <v>13.939</v>
      </c>
      <c r="G394" s="174">
        <v>0</v>
      </c>
      <c r="H394" s="187"/>
      <c r="I394" s="187"/>
      <c r="J394" s="188">
        <v>9.8000000000000007</v>
      </c>
      <c r="K394" s="166">
        <v>7</v>
      </c>
      <c r="L394" s="166">
        <v>7</v>
      </c>
      <c r="M394" s="166">
        <v>9.5</v>
      </c>
      <c r="N394" s="166"/>
      <c r="O394" s="166">
        <v>6.5</v>
      </c>
      <c r="P394" s="175">
        <f t="shared" si="6"/>
        <v>23.039669421487606</v>
      </c>
      <c r="Q394" s="189" t="s">
        <v>670</v>
      </c>
      <c r="R394" s="163" t="s">
        <v>671</v>
      </c>
      <c r="S394" s="190">
        <v>448</v>
      </c>
    </row>
    <row r="395" spans="2:20" ht="15.75">
      <c r="B395" s="39" t="s">
        <v>713</v>
      </c>
      <c r="C395" s="163" t="s">
        <v>714</v>
      </c>
      <c r="D395" s="163" t="s">
        <v>16</v>
      </c>
      <c r="E395" s="187">
        <v>0</v>
      </c>
      <c r="F395" s="174">
        <v>19.36</v>
      </c>
      <c r="G395" s="174">
        <v>0</v>
      </c>
      <c r="H395" s="187"/>
      <c r="I395" s="187"/>
      <c r="J395" s="188">
        <v>13</v>
      </c>
      <c r="K395" s="166">
        <v>7</v>
      </c>
      <c r="L395" s="166">
        <v>7</v>
      </c>
      <c r="M395" s="166">
        <v>9.5</v>
      </c>
      <c r="N395" s="166"/>
      <c r="O395" s="166">
        <v>6.8</v>
      </c>
      <c r="P395" s="175">
        <f t="shared" si="6"/>
        <v>32</v>
      </c>
      <c r="Q395" s="189" t="s">
        <v>670</v>
      </c>
      <c r="R395" s="163" t="s">
        <v>671</v>
      </c>
      <c r="S395" s="190">
        <v>508</v>
      </c>
    </row>
    <row r="396" spans="2:20" ht="15.75">
      <c r="B396" s="39" t="s">
        <v>715</v>
      </c>
      <c r="C396" s="163" t="s">
        <v>716</v>
      </c>
      <c r="D396" s="163" t="s">
        <v>16</v>
      </c>
      <c r="E396" s="187">
        <v>0</v>
      </c>
      <c r="F396" s="174">
        <v>14.325999999999999</v>
      </c>
      <c r="G396" s="174">
        <v>0</v>
      </c>
      <c r="H396" s="187"/>
      <c r="I396" s="187"/>
      <c r="J396" s="188">
        <v>8</v>
      </c>
      <c r="K396" s="166">
        <v>7</v>
      </c>
      <c r="L396" s="166">
        <v>7</v>
      </c>
      <c r="M396" s="166">
        <v>9.5</v>
      </c>
      <c r="N396" s="166"/>
      <c r="O396" s="166">
        <v>5.9</v>
      </c>
      <c r="P396" s="175">
        <f t="shared" si="6"/>
        <v>23.679338842975206</v>
      </c>
      <c r="Q396" s="189" t="s">
        <v>670</v>
      </c>
      <c r="R396" s="163" t="s">
        <v>671</v>
      </c>
      <c r="S396" s="190">
        <v>420</v>
      </c>
    </row>
    <row r="397" spans="2:20" ht="15.75">
      <c r="B397" s="39" t="s">
        <v>717</v>
      </c>
      <c r="C397" s="163" t="s">
        <v>718</v>
      </c>
      <c r="D397" s="163" t="s">
        <v>16</v>
      </c>
      <c r="E397" s="187">
        <v>0</v>
      </c>
      <c r="F397" s="174">
        <v>13.552</v>
      </c>
      <c r="G397" s="174">
        <v>0</v>
      </c>
      <c r="H397" s="187"/>
      <c r="I397" s="187"/>
      <c r="J397" s="188">
        <v>7</v>
      </c>
      <c r="K397" s="166">
        <v>6</v>
      </c>
      <c r="L397" s="166">
        <v>6</v>
      </c>
      <c r="M397" s="166">
        <v>8</v>
      </c>
      <c r="N397" s="166"/>
      <c r="O397" s="166">
        <v>5</v>
      </c>
      <c r="P397" s="175">
        <f t="shared" si="6"/>
        <v>22.4</v>
      </c>
      <c r="Q397" s="189" t="s">
        <v>670</v>
      </c>
      <c r="R397" s="163" t="s">
        <v>708</v>
      </c>
      <c r="S397" s="190">
        <v>322</v>
      </c>
    </row>
    <row r="398" spans="2:20" s="4" customFormat="1" ht="15.75">
      <c r="B398" s="39" t="s">
        <v>719</v>
      </c>
      <c r="C398" s="163" t="s">
        <v>720</v>
      </c>
      <c r="D398" s="163" t="s">
        <v>16</v>
      </c>
      <c r="E398" s="187">
        <v>0</v>
      </c>
      <c r="F398" s="174">
        <v>25.168000000000003</v>
      </c>
      <c r="G398" s="174">
        <v>0</v>
      </c>
      <c r="H398" s="187"/>
      <c r="I398" s="187"/>
      <c r="J398" s="188">
        <v>7</v>
      </c>
      <c r="K398" s="166">
        <v>6.5</v>
      </c>
      <c r="L398" s="166">
        <v>8</v>
      </c>
      <c r="M398" s="192" t="s">
        <v>721</v>
      </c>
      <c r="N398" s="166"/>
      <c r="O398" s="166">
        <v>6.3</v>
      </c>
      <c r="P398" s="175">
        <f t="shared" si="6"/>
        <v>41.600000000000009</v>
      </c>
      <c r="Q398" s="189" t="s">
        <v>674</v>
      </c>
      <c r="R398" s="163" t="s">
        <v>671</v>
      </c>
      <c r="S398" s="190">
        <v>672</v>
      </c>
      <c r="T398"/>
    </row>
    <row r="399" spans="2:20" ht="15.75">
      <c r="B399" s="39" t="s">
        <v>722</v>
      </c>
      <c r="C399" s="163" t="s">
        <v>723</v>
      </c>
      <c r="D399" s="163" t="s">
        <v>16</v>
      </c>
      <c r="E399" s="187">
        <v>0</v>
      </c>
      <c r="F399" s="174">
        <v>13.552</v>
      </c>
      <c r="G399" s="174">
        <v>0</v>
      </c>
      <c r="H399" s="187"/>
      <c r="I399" s="187"/>
      <c r="J399" s="188">
        <v>8</v>
      </c>
      <c r="K399" s="166">
        <v>6</v>
      </c>
      <c r="L399" s="166">
        <v>6</v>
      </c>
      <c r="M399" s="166">
        <v>8</v>
      </c>
      <c r="N399" s="166"/>
      <c r="O399" s="166">
        <v>5</v>
      </c>
      <c r="P399" s="175">
        <f t="shared" si="6"/>
        <v>22.4</v>
      </c>
      <c r="Q399" s="189" t="s">
        <v>670</v>
      </c>
      <c r="R399" s="163" t="s">
        <v>708</v>
      </c>
      <c r="S399" s="190">
        <v>338</v>
      </c>
    </row>
    <row r="400" spans="2:20" ht="15.75">
      <c r="B400" s="39" t="s">
        <v>724</v>
      </c>
      <c r="C400" s="163" t="s">
        <v>725</v>
      </c>
      <c r="D400" s="163" t="s">
        <v>16</v>
      </c>
      <c r="E400" s="187">
        <v>0</v>
      </c>
      <c r="F400" s="174">
        <v>13.939</v>
      </c>
      <c r="G400" s="174">
        <v>0</v>
      </c>
      <c r="H400" s="187"/>
      <c r="I400" s="187"/>
      <c r="J400" s="188">
        <v>9</v>
      </c>
      <c r="K400" s="166">
        <v>6</v>
      </c>
      <c r="L400" s="166">
        <v>6</v>
      </c>
      <c r="M400" s="166">
        <v>8</v>
      </c>
      <c r="N400" s="166"/>
      <c r="O400" s="166">
        <v>5</v>
      </c>
      <c r="P400" s="175">
        <f t="shared" si="6"/>
        <v>23.039669421487606</v>
      </c>
      <c r="Q400" s="189" t="s">
        <v>670</v>
      </c>
      <c r="R400" s="163" t="s">
        <v>708</v>
      </c>
      <c r="S400" s="190">
        <v>352</v>
      </c>
    </row>
    <row r="401" spans="2:19" ht="15.75">
      <c r="B401" s="39" t="s">
        <v>726</v>
      </c>
      <c r="C401" s="163" t="s">
        <v>727</v>
      </c>
      <c r="D401" s="163" t="s">
        <v>16</v>
      </c>
      <c r="E401" s="187">
        <v>0</v>
      </c>
      <c r="F401" s="174">
        <v>14.714</v>
      </c>
      <c r="G401" s="174">
        <v>0</v>
      </c>
      <c r="H401" s="187"/>
      <c r="I401" s="187"/>
      <c r="J401" s="188">
        <v>11</v>
      </c>
      <c r="K401" s="166">
        <v>6</v>
      </c>
      <c r="L401" s="166">
        <v>6</v>
      </c>
      <c r="M401" s="166">
        <v>8</v>
      </c>
      <c r="N401" s="166"/>
      <c r="O401" s="166">
        <v>5</v>
      </c>
      <c r="P401" s="175">
        <f t="shared" si="6"/>
        <v>24.320661157024794</v>
      </c>
      <c r="Q401" s="189" t="s">
        <v>670</v>
      </c>
      <c r="R401" s="163" t="s">
        <v>708</v>
      </c>
      <c r="S401" s="190">
        <v>378</v>
      </c>
    </row>
    <row r="402" spans="2:19" ht="15.75">
      <c r="B402" s="39" t="s">
        <v>728</v>
      </c>
      <c r="C402" s="163" t="s">
        <v>729</v>
      </c>
      <c r="D402" s="163" t="s">
        <v>16</v>
      </c>
      <c r="E402" s="187">
        <v>0</v>
      </c>
      <c r="F402" s="174">
        <v>17.182000000000002</v>
      </c>
      <c r="G402" s="174">
        <v>0</v>
      </c>
      <c r="H402" s="187"/>
      <c r="I402" s="187"/>
      <c r="J402" s="188">
        <v>10.7</v>
      </c>
      <c r="K402" s="166">
        <v>7</v>
      </c>
      <c r="L402" s="166">
        <v>7</v>
      </c>
      <c r="M402" s="166">
        <v>9.5</v>
      </c>
      <c r="N402" s="166"/>
      <c r="O402" s="166">
        <v>6.3</v>
      </c>
      <c r="P402" s="175">
        <f t="shared" si="6"/>
        <v>28.400000000000006</v>
      </c>
      <c r="Q402" s="189" t="s">
        <v>670</v>
      </c>
      <c r="R402" s="163" t="s">
        <v>671</v>
      </c>
      <c r="S402" s="190">
        <v>474</v>
      </c>
    </row>
    <row r="403" spans="2:19" ht="15.75">
      <c r="B403" s="39" t="s">
        <v>730</v>
      </c>
      <c r="C403" s="163" t="s">
        <v>731</v>
      </c>
      <c r="D403" s="163" t="s">
        <v>16</v>
      </c>
      <c r="E403" s="187">
        <v>15.4</v>
      </c>
      <c r="F403" s="174">
        <v>18.634</v>
      </c>
      <c r="G403" s="174">
        <v>0</v>
      </c>
      <c r="H403" s="187"/>
      <c r="I403" s="187"/>
      <c r="J403" s="188">
        <v>7.8</v>
      </c>
      <c r="K403" s="166">
        <v>7</v>
      </c>
      <c r="L403" s="166">
        <v>7</v>
      </c>
      <c r="M403" s="192" t="s">
        <v>721</v>
      </c>
      <c r="N403" s="166"/>
      <c r="O403" s="166">
        <v>6.3</v>
      </c>
      <c r="P403" s="175">
        <f t="shared" si="6"/>
        <v>30.8</v>
      </c>
      <c r="Q403" s="189" t="s">
        <v>670</v>
      </c>
      <c r="R403" s="163" t="s">
        <v>671</v>
      </c>
      <c r="S403" s="190">
        <v>720</v>
      </c>
    </row>
    <row r="404" spans="2:19" ht="15.75">
      <c r="B404" s="39" t="s">
        <v>732</v>
      </c>
      <c r="C404" s="163" t="s">
        <v>733</v>
      </c>
      <c r="D404" s="163" t="s">
        <v>16</v>
      </c>
      <c r="E404" s="187">
        <v>0</v>
      </c>
      <c r="F404" s="174">
        <v>17.423999999999999</v>
      </c>
      <c r="G404" s="174">
        <v>0</v>
      </c>
      <c r="H404" s="187"/>
      <c r="I404" s="187"/>
      <c r="J404" s="188">
        <v>11</v>
      </c>
      <c r="K404" s="166">
        <v>6.5</v>
      </c>
      <c r="L404" s="166">
        <v>8</v>
      </c>
      <c r="M404" s="166">
        <v>9.5</v>
      </c>
      <c r="N404" s="166"/>
      <c r="O404" s="166">
        <v>5.5</v>
      </c>
      <c r="P404" s="175">
        <f t="shared" si="6"/>
        <v>28.8</v>
      </c>
      <c r="Q404" s="189" t="s">
        <v>674</v>
      </c>
      <c r="R404" s="163" t="s">
        <v>708</v>
      </c>
      <c r="S404" s="190">
        <v>384</v>
      </c>
    </row>
    <row r="405" spans="2:19" ht="15.75">
      <c r="B405" s="39" t="s">
        <v>734</v>
      </c>
      <c r="C405" s="163" t="s">
        <v>735</v>
      </c>
      <c r="D405" s="163" t="s">
        <v>16</v>
      </c>
      <c r="E405" s="187">
        <v>0</v>
      </c>
      <c r="F405" s="174">
        <v>14.325999999999999</v>
      </c>
      <c r="G405" s="174">
        <v>0</v>
      </c>
      <c r="H405" s="187"/>
      <c r="I405" s="187"/>
      <c r="J405" s="188">
        <v>10</v>
      </c>
      <c r="K405" s="166">
        <v>6</v>
      </c>
      <c r="L405" s="166">
        <v>6</v>
      </c>
      <c r="M405" s="166">
        <v>8</v>
      </c>
      <c r="N405" s="166"/>
      <c r="O405" s="166">
        <v>5</v>
      </c>
      <c r="P405" s="175">
        <f t="shared" si="6"/>
        <v>23.679338842975206</v>
      </c>
      <c r="Q405" s="189" t="s">
        <v>670</v>
      </c>
      <c r="R405" s="163" t="s">
        <v>708</v>
      </c>
      <c r="S405" s="190">
        <v>358</v>
      </c>
    </row>
    <row r="406" spans="2:19" ht="15.75">
      <c r="B406" s="39" t="s">
        <v>736</v>
      </c>
      <c r="C406" s="163" t="s">
        <v>737</v>
      </c>
      <c r="D406" s="163" t="s">
        <v>16</v>
      </c>
      <c r="E406" s="187">
        <v>41.22</v>
      </c>
      <c r="F406" s="174">
        <v>49.876000000000005</v>
      </c>
      <c r="G406" s="174">
        <v>0</v>
      </c>
      <c r="H406" s="187"/>
      <c r="I406" s="187"/>
      <c r="J406" s="188">
        <v>14</v>
      </c>
      <c r="K406" s="166">
        <v>7</v>
      </c>
      <c r="L406" s="166">
        <v>7</v>
      </c>
      <c r="M406" s="166">
        <v>16</v>
      </c>
      <c r="N406" s="166"/>
      <c r="O406" s="166">
        <v>9.5</v>
      </c>
      <c r="P406" s="175">
        <f t="shared" si="6"/>
        <v>82.439669421487608</v>
      </c>
      <c r="Q406" s="189" t="s">
        <v>670</v>
      </c>
      <c r="R406" s="163" t="s">
        <v>671</v>
      </c>
      <c r="S406" s="191">
        <v>1400</v>
      </c>
    </row>
    <row r="407" spans="2:19" ht="15.75">
      <c r="B407" s="39" t="s">
        <v>738</v>
      </c>
      <c r="C407" s="163" t="s">
        <v>739</v>
      </c>
      <c r="D407" s="163" t="s">
        <v>16</v>
      </c>
      <c r="E407" s="187">
        <v>0</v>
      </c>
      <c r="F407" s="174">
        <v>29.04</v>
      </c>
      <c r="G407" s="174">
        <v>0</v>
      </c>
      <c r="H407" s="187"/>
      <c r="I407" s="187"/>
      <c r="J407" s="188">
        <v>8</v>
      </c>
      <c r="K407" s="166">
        <v>7</v>
      </c>
      <c r="L407" s="166">
        <v>7</v>
      </c>
      <c r="M407" s="166">
        <v>13</v>
      </c>
      <c r="N407" s="166"/>
      <c r="O407" s="166">
        <v>8</v>
      </c>
      <c r="P407" s="175">
        <f t="shared" si="6"/>
        <v>48</v>
      </c>
      <c r="Q407" s="189" t="s">
        <v>670</v>
      </c>
      <c r="R407" s="163" t="s">
        <v>671</v>
      </c>
      <c r="S407" s="190">
        <v>742</v>
      </c>
    </row>
    <row r="408" spans="2:19" ht="15.75">
      <c r="B408" s="39" t="s">
        <v>740</v>
      </c>
      <c r="C408" s="163" t="s">
        <v>741</v>
      </c>
      <c r="D408" s="163" t="s">
        <v>16</v>
      </c>
      <c r="E408" s="187">
        <v>0</v>
      </c>
      <c r="F408" s="174">
        <v>12.003</v>
      </c>
      <c r="G408" s="174">
        <v>0</v>
      </c>
      <c r="H408" s="187"/>
      <c r="I408" s="187"/>
      <c r="J408" s="188">
        <v>10</v>
      </c>
      <c r="K408" s="166">
        <v>6.5</v>
      </c>
      <c r="L408" s="166">
        <v>8</v>
      </c>
      <c r="M408" s="166">
        <v>9.5</v>
      </c>
      <c r="N408" s="166"/>
      <c r="O408" s="166">
        <v>6.3</v>
      </c>
      <c r="P408" s="175">
        <f t="shared" si="6"/>
        <v>19.839669421487603</v>
      </c>
      <c r="Q408" s="189" t="s">
        <v>674</v>
      </c>
      <c r="R408" s="163" t="s">
        <v>671</v>
      </c>
      <c r="S408" s="190">
        <v>478</v>
      </c>
    </row>
    <row r="409" spans="2:19" ht="15.75">
      <c r="B409" s="39" t="s">
        <v>742</v>
      </c>
      <c r="C409" s="163" t="s">
        <v>743</v>
      </c>
      <c r="D409" s="163" t="s">
        <v>16</v>
      </c>
      <c r="E409" s="187">
        <v>0</v>
      </c>
      <c r="F409" s="174">
        <v>34.073999999999998</v>
      </c>
      <c r="G409" s="174">
        <v>0</v>
      </c>
      <c r="H409" s="187"/>
      <c r="I409" s="187"/>
      <c r="J409" s="188">
        <v>11</v>
      </c>
      <c r="K409" s="166">
        <v>8.5</v>
      </c>
      <c r="L409" s="166">
        <v>8.5</v>
      </c>
      <c r="M409" s="166">
        <v>16</v>
      </c>
      <c r="N409" s="166"/>
      <c r="O409" s="166">
        <v>9.1999999999999993</v>
      </c>
      <c r="P409" s="175">
        <f t="shared" si="6"/>
        <v>56.320661157024794</v>
      </c>
      <c r="Q409" s="189" t="s">
        <v>670</v>
      </c>
      <c r="R409" s="163" t="s">
        <v>671</v>
      </c>
      <c r="S409" s="191">
        <v>1260</v>
      </c>
    </row>
    <row r="410" spans="2:19" ht="15.75">
      <c r="B410" s="39" t="s">
        <v>744</v>
      </c>
      <c r="C410" s="163" t="s">
        <v>745</v>
      </c>
      <c r="D410" s="163" t="s">
        <v>16</v>
      </c>
      <c r="E410" s="187">
        <v>0</v>
      </c>
      <c r="F410" s="174">
        <v>14.325999999999999</v>
      </c>
      <c r="G410" s="174">
        <v>0</v>
      </c>
      <c r="H410" s="187"/>
      <c r="I410" s="187"/>
      <c r="J410" s="188">
        <v>8.5</v>
      </c>
      <c r="K410" s="166">
        <v>6</v>
      </c>
      <c r="L410" s="166">
        <v>6</v>
      </c>
      <c r="M410" s="166">
        <v>8</v>
      </c>
      <c r="N410" s="166"/>
      <c r="O410" s="166">
        <v>5.7</v>
      </c>
      <c r="P410" s="175">
        <f t="shared" si="6"/>
        <v>23.679338842975206</v>
      </c>
      <c r="Q410" s="189" t="s">
        <v>670</v>
      </c>
      <c r="R410" s="163" t="s">
        <v>708</v>
      </c>
      <c r="S410" s="190">
        <v>346</v>
      </c>
    </row>
    <row r="411" spans="2:19" ht="15.75">
      <c r="B411" s="39" t="s">
        <v>746</v>
      </c>
      <c r="C411" s="163" t="s">
        <v>747</v>
      </c>
      <c r="D411" s="163" t="s">
        <v>16</v>
      </c>
      <c r="E411" s="187">
        <v>0</v>
      </c>
      <c r="F411" s="174">
        <v>14.714</v>
      </c>
      <c r="G411" s="174">
        <v>0</v>
      </c>
      <c r="H411" s="187"/>
      <c r="I411" s="187"/>
      <c r="J411" s="188">
        <v>10</v>
      </c>
      <c r="K411" s="166">
        <v>7</v>
      </c>
      <c r="L411" s="166">
        <v>7</v>
      </c>
      <c r="M411" s="166">
        <v>9.5</v>
      </c>
      <c r="N411" s="166"/>
      <c r="O411" s="166">
        <v>6.8</v>
      </c>
      <c r="P411" s="175">
        <f t="shared" si="6"/>
        <v>24.320661157024794</v>
      </c>
      <c r="Q411" s="189" t="s">
        <v>670</v>
      </c>
      <c r="R411" s="163" t="s">
        <v>671</v>
      </c>
      <c r="S411" s="190">
        <v>452</v>
      </c>
    </row>
    <row r="412" spans="2:19" ht="15.75">
      <c r="B412" s="39" t="s">
        <v>748</v>
      </c>
      <c r="C412" s="163" t="s">
        <v>749</v>
      </c>
      <c r="D412" s="163" t="s">
        <v>16</v>
      </c>
      <c r="E412" s="187">
        <v>0</v>
      </c>
      <c r="F412" s="174">
        <v>13.02</v>
      </c>
      <c r="G412" s="174">
        <v>0</v>
      </c>
      <c r="H412" s="187"/>
      <c r="I412" s="187"/>
      <c r="J412" s="188">
        <v>10.5</v>
      </c>
      <c r="K412" s="166">
        <v>7</v>
      </c>
      <c r="L412" s="166">
        <v>7</v>
      </c>
      <c r="M412" s="166">
        <v>9.5</v>
      </c>
      <c r="N412" s="166"/>
      <c r="O412" s="166">
        <v>6.3</v>
      </c>
      <c r="P412" s="175">
        <f t="shared" si="6"/>
        <v>21.520661157024794</v>
      </c>
      <c r="Q412" s="189" t="s">
        <v>670</v>
      </c>
      <c r="R412" s="163" t="s">
        <v>671</v>
      </c>
      <c r="S412" s="190">
        <v>464</v>
      </c>
    </row>
    <row r="413" spans="2:19" ht="15.75">
      <c r="B413" s="39" t="s">
        <v>750</v>
      </c>
      <c r="C413" s="163" t="s">
        <v>751</v>
      </c>
      <c r="D413" s="163" t="s">
        <v>16</v>
      </c>
      <c r="E413" s="187">
        <v>0</v>
      </c>
      <c r="F413" s="174">
        <v>14.714</v>
      </c>
      <c r="G413" s="174">
        <v>0</v>
      </c>
      <c r="H413" s="187"/>
      <c r="I413" s="187"/>
      <c r="J413" s="188">
        <v>10</v>
      </c>
      <c r="K413" s="166">
        <v>6</v>
      </c>
      <c r="L413" s="166">
        <v>6</v>
      </c>
      <c r="M413" s="166">
        <v>8</v>
      </c>
      <c r="N413" s="166"/>
      <c r="O413" s="166">
        <v>5.7</v>
      </c>
      <c r="P413" s="175">
        <f t="shared" si="6"/>
        <v>24.320661157024794</v>
      </c>
      <c r="Q413" s="189" t="s">
        <v>670</v>
      </c>
      <c r="R413" s="163" t="s">
        <v>708</v>
      </c>
      <c r="S413" s="190">
        <v>366</v>
      </c>
    </row>
    <row r="414" spans="2:19" ht="15.75">
      <c r="B414" s="39" t="s">
        <v>752</v>
      </c>
      <c r="C414" s="163" t="s">
        <v>753</v>
      </c>
      <c r="D414" s="163" t="s">
        <v>16</v>
      </c>
      <c r="E414" s="187">
        <v>0</v>
      </c>
      <c r="F414" s="174">
        <v>17.423999999999999</v>
      </c>
      <c r="G414" s="174">
        <v>0</v>
      </c>
      <c r="H414" s="187"/>
      <c r="I414" s="187"/>
      <c r="J414" s="188">
        <v>11</v>
      </c>
      <c r="K414" s="166">
        <v>7</v>
      </c>
      <c r="L414" s="166">
        <v>7</v>
      </c>
      <c r="M414" s="166">
        <v>9.5</v>
      </c>
      <c r="N414" s="166"/>
      <c r="O414" s="166">
        <v>6.3</v>
      </c>
      <c r="P414" s="175">
        <f t="shared" si="6"/>
        <v>28.8</v>
      </c>
      <c r="Q414" s="189" t="s">
        <v>670</v>
      </c>
      <c r="R414" s="163" t="s">
        <v>671</v>
      </c>
      <c r="S414" s="190">
        <v>470</v>
      </c>
    </row>
    <row r="415" spans="2:19" ht="15.75">
      <c r="B415" s="39" t="s">
        <v>754</v>
      </c>
      <c r="C415" s="163" t="s">
        <v>755</v>
      </c>
      <c r="D415" s="163" t="s">
        <v>16</v>
      </c>
      <c r="E415" s="187">
        <v>0</v>
      </c>
      <c r="F415" s="174">
        <v>18.198</v>
      </c>
      <c r="G415" s="174">
        <v>0</v>
      </c>
      <c r="H415" s="187"/>
      <c r="I415" s="187"/>
      <c r="J415" s="188">
        <v>12</v>
      </c>
      <c r="K415" s="166">
        <v>7</v>
      </c>
      <c r="L415" s="166">
        <v>7</v>
      </c>
      <c r="M415" s="166">
        <v>9.5</v>
      </c>
      <c r="N415" s="166"/>
      <c r="O415" s="166">
        <v>6.3</v>
      </c>
      <c r="P415" s="175">
        <f t="shared" si="6"/>
        <v>30.079338842975208</v>
      </c>
      <c r="Q415" s="189" t="s">
        <v>670</v>
      </c>
      <c r="R415" s="163" t="s">
        <v>671</v>
      </c>
      <c r="S415" s="190">
        <v>486</v>
      </c>
    </row>
    <row r="416" spans="2:19" ht="15.75">
      <c r="B416" s="39" t="s">
        <v>756</v>
      </c>
      <c r="C416" s="163" t="s">
        <v>757</v>
      </c>
      <c r="D416" s="163" t="s">
        <v>16</v>
      </c>
      <c r="E416" s="187">
        <v>0</v>
      </c>
      <c r="F416" s="174">
        <v>18.198</v>
      </c>
      <c r="G416" s="174">
        <v>0</v>
      </c>
      <c r="H416" s="187"/>
      <c r="I416" s="187"/>
      <c r="J416" s="188">
        <v>13</v>
      </c>
      <c r="K416" s="166">
        <v>7</v>
      </c>
      <c r="L416" s="166">
        <v>7</v>
      </c>
      <c r="M416" s="166">
        <v>9.5</v>
      </c>
      <c r="N416" s="166"/>
      <c r="O416" s="166">
        <v>6.3</v>
      </c>
      <c r="P416" s="175">
        <f t="shared" si="6"/>
        <v>30.079338842975208</v>
      </c>
      <c r="Q416" s="189" t="s">
        <v>670</v>
      </c>
      <c r="R416" s="163" t="s">
        <v>671</v>
      </c>
      <c r="S416" s="190">
        <v>500</v>
      </c>
    </row>
    <row r="417" spans="2:19" ht="15.75">
      <c r="B417" s="39" t="s">
        <v>758</v>
      </c>
      <c r="C417" s="163" t="s">
        <v>759</v>
      </c>
      <c r="D417" s="163" t="s">
        <v>16</v>
      </c>
      <c r="E417" s="187">
        <v>0</v>
      </c>
      <c r="F417" s="174">
        <v>13.720999999999998</v>
      </c>
      <c r="G417" s="174">
        <v>0</v>
      </c>
      <c r="H417" s="187"/>
      <c r="I417" s="187"/>
      <c r="J417" s="188">
        <v>10.5</v>
      </c>
      <c r="K417" s="166">
        <v>6.5</v>
      </c>
      <c r="L417" s="166">
        <v>8</v>
      </c>
      <c r="M417" s="166">
        <v>9.3000000000000007</v>
      </c>
      <c r="N417" s="166"/>
      <c r="O417" s="166">
        <v>6.3</v>
      </c>
      <c r="P417" s="175">
        <f t="shared" si="6"/>
        <v>22.679338842975206</v>
      </c>
      <c r="Q417" s="189" t="s">
        <v>674</v>
      </c>
      <c r="R417" s="163" t="s">
        <v>671</v>
      </c>
      <c r="S417" s="190">
        <v>492</v>
      </c>
    </row>
    <row r="418" spans="2:19" ht="15.75">
      <c r="B418" s="39" t="s">
        <v>760</v>
      </c>
      <c r="C418" s="163" t="s">
        <v>761</v>
      </c>
      <c r="D418" s="163" t="s">
        <v>16</v>
      </c>
      <c r="E418" s="187">
        <v>0</v>
      </c>
      <c r="F418" s="174">
        <v>12.003</v>
      </c>
      <c r="G418" s="174">
        <v>0</v>
      </c>
      <c r="H418" s="187"/>
      <c r="I418" s="187"/>
      <c r="J418" s="188">
        <v>10</v>
      </c>
      <c r="K418" s="166">
        <v>7</v>
      </c>
      <c r="L418" s="166">
        <v>7</v>
      </c>
      <c r="M418" s="166">
        <v>9.3000000000000007</v>
      </c>
      <c r="N418" s="166"/>
      <c r="O418" s="166">
        <v>6.3</v>
      </c>
      <c r="P418" s="175">
        <f t="shared" si="6"/>
        <v>19.839669421487603</v>
      </c>
      <c r="Q418" s="189" t="s">
        <v>670</v>
      </c>
      <c r="R418" s="163" t="s">
        <v>671</v>
      </c>
      <c r="S418" s="190">
        <v>478</v>
      </c>
    </row>
    <row r="419" spans="2:19" ht="15.75">
      <c r="B419" s="39" t="s">
        <v>762</v>
      </c>
      <c r="C419" s="163" t="s">
        <v>763</v>
      </c>
      <c r="D419" s="163" t="s">
        <v>16</v>
      </c>
      <c r="E419" s="187">
        <v>0</v>
      </c>
      <c r="F419" s="174">
        <v>11.664000000000001</v>
      </c>
      <c r="G419" s="174">
        <v>0</v>
      </c>
      <c r="H419" s="187"/>
      <c r="I419" s="187"/>
      <c r="J419" s="188">
        <v>6.5</v>
      </c>
      <c r="K419" s="166">
        <v>7</v>
      </c>
      <c r="L419" s="166">
        <v>7</v>
      </c>
      <c r="M419" s="166">
        <v>11</v>
      </c>
      <c r="N419" s="166"/>
      <c r="O419" s="166">
        <v>6.8</v>
      </c>
      <c r="P419" s="175">
        <f t="shared" si="6"/>
        <v>19.279338842975211</v>
      </c>
      <c r="Q419" s="189" t="s">
        <v>670</v>
      </c>
      <c r="R419" s="163" t="s">
        <v>671</v>
      </c>
      <c r="S419" s="190">
        <v>530</v>
      </c>
    </row>
    <row r="420" spans="2:19" ht="15.75">
      <c r="B420" s="39" t="s">
        <v>764</v>
      </c>
      <c r="C420" s="163" t="s">
        <v>765</v>
      </c>
      <c r="D420" s="163" t="s">
        <v>16</v>
      </c>
      <c r="E420" s="187">
        <v>0</v>
      </c>
      <c r="F420" s="174">
        <v>28.314</v>
      </c>
      <c r="G420" s="174">
        <v>0</v>
      </c>
      <c r="H420" s="187"/>
      <c r="I420" s="187"/>
      <c r="J420" s="188">
        <v>9.1999999999999993</v>
      </c>
      <c r="K420" s="166">
        <v>7</v>
      </c>
      <c r="L420" s="166">
        <v>7</v>
      </c>
      <c r="M420" s="192" t="s">
        <v>721</v>
      </c>
      <c r="N420" s="166"/>
      <c r="O420" s="166">
        <v>6.3</v>
      </c>
      <c r="P420" s="175">
        <f t="shared" ref="P420:P449" si="7">+(F420/1.21)*2</f>
        <v>46.800000000000004</v>
      </c>
      <c r="Q420" s="189" t="s">
        <v>670</v>
      </c>
      <c r="R420" s="163" t="s">
        <v>671</v>
      </c>
      <c r="S420" s="190">
        <v>780</v>
      </c>
    </row>
    <row r="421" spans="2:19" ht="15.75">
      <c r="B421" s="39" t="s">
        <v>766</v>
      </c>
      <c r="C421" s="163" t="s">
        <v>767</v>
      </c>
      <c r="D421" s="163" t="s">
        <v>16</v>
      </c>
      <c r="E421" s="187">
        <v>0</v>
      </c>
      <c r="F421" s="174">
        <v>16.262</v>
      </c>
      <c r="G421" s="174">
        <v>0</v>
      </c>
      <c r="H421" s="187"/>
      <c r="I421" s="187"/>
      <c r="J421" s="188">
        <v>9</v>
      </c>
      <c r="K421" s="166">
        <v>7</v>
      </c>
      <c r="L421" s="166">
        <v>7</v>
      </c>
      <c r="M421" s="166">
        <v>9.5</v>
      </c>
      <c r="N421" s="166"/>
      <c r="O421" s="166">
        <v>5.8</v>
      </c>
      <c r="P421" s="175">
        <f t="shared" si="7"/>
        <v>26.879338842975208</v>
      </c>
      <c r="Q421" s="189" t="s">
        <v>670</v>
      </c>
      <c r="R421" s="163" t="s">
        <v>708</v>
      </c>
      <c r="S421" s="190">
        <v>436</v>
      </c>
    </row>
    <row r="422" spans="2:19" ht="15.75">
      <c r="B422" s="39" t="s">
        <v>768</v>
      </c>
      <c r="C422" s="163" t="s">
        <v>769</v>
      </c>
      <c r="D422" s="163" t="s">
        <v>16</v>
      </c>
      <c r="E422" s="187">
        <v>0</v>
      </c>
      <c r="F422" s="174">
        <v>27.878</v>
      </c>
      <c r="G422" s="174">
        <v>0</v>
      </c>
      <c r="H422" s="187"/>
      <c r="I422" s="187"/>
      <c r="J422" s="188">
        <v>9.65</v>
      </c>
      <c r="K422" s="166">
        <v>7</v>
      </c>
      <c r="L422" s="166">
        <v>7</v>
      </c>
      <c r="M422" s="192" t="s">
        <v>721</v>
      </c>
      <c r="N422" s="166"/>
      <c r="O422" s="166">
        <v>6.3</v>
      </c>
      <c r="P422" s="175">
        <f t="shared" si="7"/>
        <v>46.079338842975211</v>
      </c>
      <c r="Q422" s="189" t="s">
        <v>670</v>
      </c>
      <c r="R422" s="163" t="s">
        <v>671</v>
      </c>
      <c r="S422" s="190">
        <v>780</v>
      </c>
    </row>
    <row r="423" spans="2:19" ht="15.75">
      <c r="B423" s="39" t="s">
        <v>770</v>
      </c>
      <c r="C423" s="163" t="s">
        <v>771</v>
      </c>
      <c r="D423" s="163" t="s">
        <v>16</v>
      </c>
      <c r="E423" s="187">
        <v>0</v>
      </c>
      <c r="F423" s="174">
        <v>16.262</v>
      </c>
      <c r="G423" s="174">
        <v>0</v>
      </c>
      <c r="H423" s="187"/>
      <c r="I423" s="187"/>
      <c r="J423" s="188">
        <v>8</v>
      </c>
      <c r="K423" s="166">
        <v>6.5</v>
      </c>
      <c r="L423" s="166">
        <v>8</v>
      </c>
      <c r="M423" s="166">
        <v>9.5</v>
      </c>
      <c r="N423" s="166"/>
      <c r="O423" s="166">
        <v>5.7</v>
      </c>
      <c r="P423" s="175">
        <f t="shared" si="7"/>
        <v>26.879338842975208</v>
      </c>
      <c r="Q423" s="189" t="s">
        <v>674</v>
      </c>
      <c r="R423" s="163" t="s">
        <v>708</v>
      </c>
      <c r="S423" s="190">
        <v>428</v>
      </c>
    </row>
    <row r="424" spans="2:19" ht="15.75">
      <c r="B424" s="39" t="s">
        <v>772</v>
      </c>
      <c r="C424" s="163" t="s">
        <v>773</v>
      </c>
      <c r="D424" s="163" t="s">
        <v>16</v>
      </c>
      <c r="E424" s="187">
        <v>0</v>
      </c>
      <c r="F424" s="174">
        <v>11.857999999999999</v>
      </c>
      <c r="G424" s="174">
        <v>0</v>
      </c>
      <c r="H424" s="187"/>
      <c r="I424" s="187"/>
      <c r="J424" s="188">
        <v>9</v>
      </c>
      <c r="K424" s="166">
        <v>8</v>
      </c>
      <c r="L424" s="166">
        <v>8</v>
      </c>
      <c r="M424" s="166">
        <v>9.5</v>
      </c>
      <c r="N424" s="166"/>
      <c r="O424" s="166">
        <v>6.3</v>
      </c>
      <c r="P424" s="175">
        <f t="shared" si="7"/>
        <v>19.599999999999998</v>
      </c>
      <c r="Q424" s="189" t="s">
        <v>670</v>
      </c>
      <c r="R424" s="163" t="s">
        <v>671</v>
      </c>
      <c r="S424" s="190">
        <v>476</v>
      </c>
    </row>
    <row r="425" spans="2:19" ht="15.75">
      <c r="B425" s="39" t="s">
        <v>774</v>
      </c>
      <c r="C425" s="163" t="s">
        <v>775</v>
      </c>
      <c r="D425" s="163" t="s">
        <v>16</v>
      </c>
      <c r="E425" s="187">
        <v>0</v>
      </c>
      <c r="F425" s="174">
        <v>13.745999999999999</v>
      </c>
      <c r="G425" s="174">
        <v>0</v>
      </c>
      <c r="H425" s="187"/>
      <c r="I425" s="187"/>
      <c r="J425" s="188">
        <v>8.5</v>
      </c>
      <c r="K425" s="166">
        <v>6</v>
      </c>
      <c r="L425" s="166">
        <v>6</v>
      </c>
      <c r="M425" s="166">
        <v>8</v>
      </c>
      <c r="N425" s="166"/>
      <c r="O425" s="166">
        <v>5</v>
      </c>
      <c r="P425" s="175">
        <f t="shared" si="7"/>
        <v>22.720661157024793</v>
      </c>
      <c r="Q425" s="189" t="s">
        <v>670</v>
      </c>
      <c r="R425" s="163" t="s">
        <v>708</v>
      </c>
      <c r="S425" s="190">
        <v>344</v>
      </c>
    </row>
    <row r="426" spans="2:19" ht="15.75">
      <c r="B426" s="39" t="s">
        <v>776</v>
      </c>
      <c r="C426" s="163" t="s">
        <v>777</v>
      </c>
      <c r="D426" s="163" t="s">
        <v>16</v>
      </c>
      <c r="E426" s="187">
        <v>0</v>
      </c>
      <c r="F426" s="174">
        <v>12.39</v>
      </c>
      <c r="G426" s="174">
        <v>0</v>
      </c>
      <c r="H426" s="187"/>
      <c r="I426" s="187"/>
      <c r="J426" s="188">
        <v>8</v>
      </c>
      <c r="K426" s="166">
        <v>7</v>
      </c>
      <c r="L426" s="166">
        <v>7</v>
      </c>
      <c r="M426" s="166">
        <v>11</v>
      </c>
      <c r="N426" s="166"/>
      <c r="O426" s="166">
        <v>6.8</v>
      </c>
      <c r="P426" s="175">
        <f t="shared" si="7"/>
        <v>20.47933884297521</v>
      </c>
      <c r="Q426" s="189" t="s">
        <v>670</v>
      </c>
      <c r="R426" s="163" t="s">
        <v>671</v>
      </c>
      <c r="S426" s="190">
        <v>542</v>
      </c>
    </row>
    <row r="427" spans="2:19" ht="15.75">
      <c r="B427" s="39" t="s">
        <v>778</v>
      </c>
      <c r="C427" s="163" t="s">
        <v>779</v>
      </c>
      <c r="D427" s="163" t="s">
        <v>16</v>
      </c>
      <c r="E427" s="187">
        <v>0</v>
      </c>
      <c r="F427" s="174">
        <v>14.325999999999999</v>
      </c>
      <c r="G427" s="174">
        <v>0</v>
      </c>
      <c r="H427" s="187"/>
      <c r="I427" s="187"/>
      <c r="J427" s="188">
        <v>7</v>
      </c>
      <c r="K427" s="166">
        <v>6.5</v>
      </c>
      <c r="L427" s="166">
        <v>8</v>
      </c>
      <c r="M427" s="166">
        <v>9.5</v>
      </c>
      <c r="N427" s="166"/>
      <c r="O427" s="166">
        <v>6</v>
      </c>
      <c r="P427" s="175">
        <f t="shared" si="7"/>
        <v>23.679338842975206</v>
      </c>
      <c r="Q427" s="189" t="s">
        <v>674</v>
      </c>
      <c r="R427" s="163" t="s">
        <v>671</v>
      </c>
      <c r="S427" s="190">
        <v>412</v>
      </c>
    </row>
    <row r="428" spans="2:19" ht="15.75">
      <c r="B428" s="39" t="s">
        <v>780</v>
      </c>
      <c r="C428" s="163" t="s">
        <v>781</v>
      </c>
      <c r="D428" s="163" t="s">
        <v>16</v>
      </c>
      <c r="E428" s="187">
        <v>0</v>
      </c>
      <c r="F428" s="174">
        <v>15.488</v>
      </c>
      <c r="G428" s="174">
        <v>0</v>
      </c>
      <c r="H428" s="187"/>
      <c r="I428" s="187"/>
      <c r="J428" s="188">
        <v>7.5</v>
      </c>
      <c r="K428" s="166">
        <v>6</v>
      </c>
      <c r="L428" s="166">
        <v>6</v>
      </c>
      <c r="M428" s="166">
        <v>9.5</v>
      </c>
      <c r="N428" s="166"/>
      <c r="O428" s="166">
        <v>5</v>
      </c>
      <c r="P428" s="175">
        <f t="shared" si="7"/>
        <v>25.6</v>
      </c>
      <c r="Q428" s="189" t="s">
        <v>670</v>
      </c>
      <c r="R428" s="163" t="s">
        <v>708</v>
      </c>
      <c r="S428" s="190">
        <v>412</v>
      </c>
    </row>
    <row r="429" spans="2:19" ht="15.75">
      <c r="B429" s="39" t="s">
        <v>782</v>
      </c>
      <c r="C429" s="163" t="s">
        <v>783</v>
      </c>
      <c r="D429" s="163" t="s">
        <v>16</v>
      </c>
      <c r="E429" s="187">
        <v>0</v>
      </c>
      <c r="F429" s="174">
        <v>13.939</v>
      </c>
      <c r="G429" s="174">
        <v>0</v>
      </c>
      <c r="H429" s="187"/>
      <c r="I429" s="187"/>
      <c r="J429" s="188">
        <v>7</v>
      </c>
      <c r="K429" s="166">
        <v>7</v>
      </c>
      <c r="L429" s="166">
        <v>7</v>
      </c>
      <c r="M429" s="166">
        <v>9.5</v>
      </c>
      <c r="N429" s="166"/>
      <c r="O429" s="166">
        <v>5.9</v>
      </c>
      <c r="P429" s="175">
        <f t="shared" si="7"/>
        <v>23.039669421487606</v>
      </c>
      <c r="Q429" s="189" t="s">
        <v>670</v>
      </c>
      <c r="R429" s="163" t="s">
        <v>671</v>
      </c>
      <c r="S429" s="190">
        <v>412</v>
      </c>
    </row>
    <row r="430" spans="2:19" ht="15.75">
      <c r="B430" s="39" t="s">
        <v>784</v>
      </c>
      <c r="C430" s="163" t="s">
        <v>785</v>
      </c>
      <c r="D430" s="163" t="s">
        <v>16</v>
      </c>
      <c r="E430" s="187">
        <v>0</v>
      </c>
      <c r="F430" s="174">
        <v>41.818000000000005</v>
      </c>
      <c r="G430" s="174">
        <v>0</v>
      </c>
      <c r="H430" s="187"/>
      <c r="I430" s="187"/>
      <c r="J430" s="188">
        <v>18</v>
      </c>
      <c r="K430" s="166">
        <v>7</v>
      </c>
      <c r="L430" s="166">
        <v>7</v>
      </c>
      <c r="M430" s="166">
        <v>16</v>
      </c>
      <c r="N430" s="166"/>
      <c r="O430" s="166">
        <v>8.5</v>
      </c>
      <c r="P430" s="175">
        <f t="shared" si="7"/>
        <v>69.120661157024799</v>
      </c>
      <c r="Q430" s="189" t="s">
        <v>670</v>
      </c>
      <c r="R430" s="163" t="s">
        <v>708</v>
      </c>
      <c r="S430" s="191">
        <v>1568</v>
      </c>
    </row>
    <row r="431" spans="2:19" ht="15.75">
      <c r="B431" s="39" t="s">
        <v>786</v>
      </c>
      <c r="C431" s="163" t="s">
        <v>714</v>
      </c>
      <c r="D431" s="163" t="s">
        <v>16</v>
      </c>
      <c r="E431" s="187">
        <v>0</v>
      </c>
      <c r="F431" s="174">
        <v>38.72</v>
      </c>
      <c r="G431" s="174">
        <v>0</v>
      </c>
      <c r="H431" s="187"/>
      <c r="I431" s="187"/>
      <c r="J431" s="188">
        <v>13</v>
      </c>
      <c r="K431" s="166">
        <v>7</v>
      </c>
      <c r="L431" s="166">
        <v>7</v>
      </c>
      <c r="M431" s="166">
        <v>16</v>
      </c>
      <c r="N431" s="166"/>
      <c r="O431" s="166">
        <v>9.3000000000000007</v>
      </c>
      <c r="P431" s="175">
        <f t="shared" si="7"/>
        <v>64</v>
      </c>
      <c r="Q431" s="189" t="s">
        <v>670</v>
      </c>
      <c r="R431" s="163" t="s">
        <v>671</v>
      </c>
      <c r="S431" s="191">
        <v>1344</v>
      </c>
    </row>
    <row r="432" spans="2:19" ht="15.75">
      <c r="B432" s="39" t="s">
        <v>787</v>
      </c>
      <c r="C432" s="163" t="s">
        <v>788</v>
      </c>
      <c r="D432" s="163" t="s">
        <v>16</v>
      </c>
      <c r="E432" s="187">
        <v>43.22</v>
      </c>
      <c r="F432" s="174">
        <v>52.296000000000006</v>
      </c>
      <c r="G432" s="174">
        <v>0</v>
      </c>
      <c r="H432" s="187"/>
      <c r="I432" s="187"/>
      <c r="J432" s="188">
        <v>15</v>
      </c>
      <c r="K432" s="166">
        <v>7.3</v>
      </c>
      <c r="L432" s="166">
        <v>7.3</v>
      </c>
      <c r="M432" s="166">
        <v>16</v>
      </c>
      <c r="N432" s="166"/>
      <c r="O432" s="166">
        <v>8.5</v>
      </c>
      <c r="P432" s="175">
        <f t="shared" si="7"/>
        <v>86.439669421487622</v>
      </c>
      <c r="Q432" s="189" t="s">
        <v>670</v>
      </c>
      <c r="R432" s="163" t="s">
        <v>671</v>
      </c>
      <c r="S432" s="191">
        <v>1426</v>
      </c>
    </row>
    <row r="433" spans="2:19" ht="15.75">
      <c r="B433" s="39" t="s">
        <v>789</v>
      </c>
      <c r="C433" s="163" t="s">
        <v>790</v>
      </c>
      <c r="D433" s="163" t="s">
        <v>16</v>
      </c>
      <c r="E433" s="187">
        <v>0</v>
      </c>
      <c r="F433" s="174">
        <v>14.52</v>
      </c>
      <c r="G433" s="174">
        <v>0</v>
      </c>
      <c r="H433" s="187"/>
      <c r="I433" s="187"/>
      <c r="J433" s="188">
        <v>8</v>
      </c>
      <c r="K433" s="166">
        <v>6.5</v>
      </c>
      <c r="L433" s="166">
        <v>8</v>
      </c>
      <c r="M433" s="166">
        <v>9.5</v>
      </c>
      <c r="N433" s="166"/>
      <c r="O433" s="166">
        <v>5.9</v>
      </c>
      <c r="P433" s="175">
        <f t="shared" si="7"/>
        <v>24</v>
      </c>
      <c r="Q433" s="189" t="s">
        <v>674</v>
      </c>
      <c r="R433" s="163" t="s">
        <v>671</v>
      </c>
      <c r="S433" s="190">
        <v>420</v>
      </c>
    </row>
    <row r="434" spans="2:19" ht="15.75">
      <c r="B434" s="39" t="s">
        <v>791</v>
      </c>
      <c r="C434" s="163" t="s">
        <v>792</v>
      </c>
      <c r="D434" s="163" t="s">
        <v>16</v>
      </c>
      <c r="E434" s="187">
        <v>0</v>
      </c>
      <c r="F434" s="174">
        <v>15.100999999999999</v>
      </c>
      <c r="G434" s="174">
        <v>0</v>
      </c>
      <c r="H434" s="187"/>
      <c r="I434" s="187"/>
      <c r="J434" s="188">
        <v>10.5</v>
      </c>
      <c r="K434" s="166">
        <v>6</v>
      </c>
      <c r="L434" s="166">
        <v>6</v>
      </c>
      <c r="M434" s="166">
        <v>8</v>
      </c>
      <c r="N434" s="166"/>
      <c r="O434" s="166">
        <v>5</v>
      </c>
      <c r="P434" s="175">
        <f t="shared" si="7"/>
        <v>24.960330578512394</v>
      </c>
      <c r="Q434" s="189" t="s">
        <v>670</v>
      </c>
      <c r="R434" s="163" t="s">
        <v>708</v>
      </c>
      <c r="S434" s="190">
        <v>372</v>
      </c>
    </row>
    <row r="435" spans="2:19" ht="15.75">
      <c r="B435" s="39" t="s">
        <v>793</v>
      </c>
      <c r="C435" s="163" t="s">
        <v>794</v>
      </c>
      <c r="D435" s="163" t="s">
        <v>16</v>
      </c>
      <c r="E435" s="187">
        <v>24.98</v>
      </c>
      <c r="F435" s="174">
        <v>30.225999999999999</v>
      </c>
      <c r="G435" s="174">
        <v>0</v>
      </c>
      <c r="H435" s="187"/>
      <c r="I435" s="187"/>
      <c r="J435" s="188">
        <v>9.5</v>
      </c>
      <c r="K435" s="166">
        <v>7</v>
      </c>
      <c r="L435" s="166">
        <v>7</v>
      </c>
      <c r="M435" s="166">
        <v>13</v>
      </c>
      <c r="N435" s="166"/>
      <c r="O435" s="166">
        <v>8.5</v>
      </c>
      <c r="P435" s="175">
        <f t="shared" si="7"/>
        <v>49.960330578512398</v>
      </c>
      <c r="Q435" s="189" t="s">
        <v>670</v>
      </c>
      <c r="R435" s="163" t="s">
        <v>671</v>
      </c>
      <c r="S435" s="190">
        <v>770</v>
      </c>
    </row>
    <row r="436" spans="2:19" ht="15.75">
      <c r="B436" s="39" t="s">
        <v>795</v>
      </c>
      <c r="C436" s="163" t="s">
        <v>796</v>
      </c>
      <c r="D436" s="163" t="s">
        <v>16</v>
      </c>
      <c r="E436" s="187">
        <v>24.98</v>
      </c>
      <c r="F436" s="174">
        <v>30.225999999999999</v>
      </c>
      <c r="G436" s="174">
        <v>0</v>
      </c>
      <c r="H436" s="187"/>
      <c r="I436" s="187"/>
      <c r="J436" s="188">
        <v>9</v>
      </c>
      <c r="K436" s="166">
        <v>7</v>
      </c>
      <c r="L436" s="166">
        <v>7</v>
      </c>
      <c r="M436" s="166">
        <v>13</v>
      </c>
      <c r="N436" s="166"/>
      <c r="O436" s="166">
        <v>8.5</v>
      </c>
      <c r="P436" s="175">
        <f t="shared" si="7"/>
        <v>49.960330578512398</v>
      </c>
      <c r="Q436" s="189" t="s">
        <v>670</v>
      </c>
      <c r="R436" s="163" t="s">
        <v>671</v>
      </c>
      <c r="S436" s="190">
        <v>756</v>
      </c>
    </row>
    <row r="437" spans="2:19" ht="15.75">
      <c r="B437" s="39" t="s">
        <v>797</v>
      </c>
      <c r="C437" s="163" t="s">
        <v>798</v>
      </c>
      <c r="D437" s="163" t="s">
        <v>16</v>
      </c>
      <c r="E437" s="187">
        <v>0</v>
      </c>
      <c r="F437" s="174">
        <v>23.619</v>
      </c>
      <c r="G437" s="174">
        <v>0</v>
      </c>
      <c r="H437" s="187"/>
      <c r="I437" s="187"/>
      <c r="J437" s="188">
        <v>6</v>
      </c>
      <c r="K437" s="166">
        <v>8</v>
      </c>
      <c r="L437" s="166">
        <v>17</v>
      </c>
      <c r="M437" s="166">
        <v>9.5</v>
      </c>
      <c r="N437" s="166"/>
      <c r="O437" s="166">
        <v>6.3</v>
      </c>
      <c r="P437" s="175">
        <f t="shared" si="7"/>
        <v>39.039669421487602</v>
      </c>
      <c r="Q437" s="163" t="s">
        <v>674</v>
      </c>
      <c r="R437" s="189" t="s">
        <v>671</v>
      </c>
      <c r="S437" s="191">
        <v>1010</v>
      </c>
    </row>
    <row r="438" spans="2:19" ht="15.75">
      <c r="B438" s="39" t="s">
        <v>799</v>
      </c>
      <c r="C438" s="163" t="s">
        <v>800</v>
      </c>
      <c r="D438" s="163" t="s">
        <v>16</v>
      </c>
      <c r="E438" s="187">
        <v>0</v>
      </c>
      <c r="F438" s="174">
        <v>13.164999999999999</v>
      </c>
      <c r="G438" s="174">
        <v>0</v>
      </c>
      <c r="H438" s="187"/>
      <c r="I438" s="187"/>
      <c r="J438" s="188">
        <v>9</v>
      </c>
      <c r="K438" s="166">
        <v>7</v>
      </c>
      <c r="L438" s="166">
        <v>7</v>
      </c>
      <c r="M438" s="166">
        <v>11</v>
      </c>
      <c r="N438" s="166"/>
      <c r="O438" s="166">
        <v>6.8</v>
      </c>
      <c r="P438" s="175">
        <f t="shared" si="7"/>
        <v>21.760330578512395</v>
      </c>
      <c r="Q438" s="163" t="s">
        <v>670</v>
      </c>
      <c r="R438" s="189" t="s">
        <v>671</v>
      </c>
      <c r="S438" s="190">
        <v>538</v>
      </c>
    </row>
    <row r="439" spans="2:19" ht="15.75">
      <c r="B439" s="39" t="s">
        <v>801</v>
      </c>
      <c r="C439" s="163" t="s">
        <v>802</v>
      </c>
      <c r="D439" s="163" t="s">
        <v>16</v>
      </c>
      <c r="E439" s="187">
        <v>0</v>
      </c>
      <c r="F439" s="174">
        <v>37.945999999999998</v>
      </c>
      <c r="G439" s="174">
        <v>0</v>
      </c>
      <c r="H439" s="187"/>
      <c r="I439" s="187"/>
      <c r="J439" s="188">
        <v>10</v>
      </c>
      <c r="K439" s="166">
        <v>7</v>
      </c>
      <c r="L439" s="166">
        <v>7</v>
      </c>
      <c r="M439" s="166">
        <v>13</v>
      </c>
      <c r="N439" s="166"/>
      <c r="O439" s="166">
        <v>8.5</v>
      </c>
      <c r="P439" s="175">
        <f t="shared" si="7"/>
        <v>62.720661157024793</v>
      </c>
      <c r="Q439" s="163" t="s">
        <v>670</v>
      </c>
      <c r="R439" s="189" t="s">
        <v>671</v>
      </c>
      <c r="S439" s="190">
        <v>788</v>
      </c>
    </row>
    <row r="440" spans="2:19" ht="15.75">
      <c r="B440" s="39" t="s">
        <v>803</v>
      </c>
      <c r="C440" s="163" t="s">
        <v>804</v>
      </c>
      <c r="D440" s="163" t="s">
        <v>16</v>
      </c>
      <c r="E440" s="187">
        <v>0</v>
      </c>
      <c r="F440" s="174">
        <v>31.46</v>
      </c>
      <c r="G440" s="174">
        <v>0</v>
      </c>
      <c r="H440" s="187"/>
      <c r="I440" s="187"/>
      <c r="J440" s="188"/>
      <c r="K440" s="166"/>
      <c r="L440" s="166"/>
      <c r="M440" s="166"/>
      <c r="N440" s="166"/>
      <c r="O440" s="166"/>
      <c r="P440" s="175">
        <f t="shared" si="7"/>
        <v>52</v>
      </c>
      <c r="Q440" s="163"/>
      <c r="R440" s="189"/>
      <c r="S440" s="193"/>
    </row>
    <row r="441" spans="2:19" ht="15.75">
      <c r="B441" s="39" t="s">
        <v>805</v>
      </c>
      <c r="C441" s="163" t="s">
        <v>806</v>
      </c>
      <c r="D441" s="163" t="s">
        <v>16</v>
      </c>
      <c r="E441" s="187">
        <v>0</v>
      </c>
      <c r="F441" s="174">
        <v>16.262</v>
      </c>
      <c r="G441" s="174">
        <v>0</v>
      </c>
      <c r="H441" s="187"/>
      <c r="I441" s="187"/>
      <c r="J441" s="188">
        <v>12</v>
      </c>
      <c r="K441" s="166">
        <v>6</v>
      </c>
      <c r="L441" s="166">
        <v>6</v>
      </c>
      <c r="M441" s="166">
        <v>8</v>
      </c>
      <c r="N441" s="166"/>
      <c r="O441" s="166">
        <v>5</v>
      </c>
      <c r="P441" s="175">
        <f t="shared" si="7"/>
        <v>26.879338842975208</v>
      </c>
      <c r="Q441" s="163" t="s">
        <v>670</v>
      </c>
      <c r="R441" s="189" t="s">
        <v>708</v>
      </c>
      <c r="S441" s="190">
        <v>392</v>
      </c>
    </row>
    <row r="442" spans="2:19" ht="15.75">
      <c r="B442" s="39" t="s">
        <v>807</v>
      </c>
      <c r="C442" s="163" t="s">
        <v>808</v>
      </c>
      <c r="D442" s="163" t="s">
        <v>16</v>
      </c>
      <c r="E442" s="187">
        <v>0</v>
      </c>
      <c r="F442" s="174">
        <v>53.481999999999999</v>
      </c>
      <c r="G442" s="174">
        <v>0</v>
      </c>
      <c r="H442" s="187"/>
      <c r="I442" s="187"/>
      <c r="J442" s="188">
        <v>14</v>
      </c>
      <c r="K442" s="166">
        <v>8</v>
      </c>
      <c r="L442" s="166">
        <v>8</v>
      </c>
      <c r="M442" s="166">
        <v>16</v>
      </c>
      <c r="N442" s="166"/>
      <c r="O442" s="166">
        <v>6.3</v>
      </c>
      <c r="P442" s="175">
        <f t="shared" si="7"/>
        <v>88.4</v>
      </c>
      <c r="Q442" s="163" t="s">
        <v>670</v>
      </c>
      <c r="R442" s="189" t="s">
        <v>671</v>
      </c>
      <c r="S442" s="191">
        <v>2382</v>
      </c>
    </row>
    <row r="443" spans="2:19" ht="15.75">
      <c r="B443" s="39" t="s">
        <v>809</v>
      </c>
      <c r="C443" s="163" t="s">
        <v>810</v>
      </c>
      <c r="D443" s="163" t="s">
        <v>16</v>
      </c>
      <c r="E443" s="187">
        <v>0</v>
      </c>
      <c r="F443" s="174">
        <v>15.245999999999999</v>
      </c>
      <c r="G443" s="174">
        <v>0</v>
      </c>
      <c r="H443" s="187"/>
      <c r="I443" s="187"/>
      <c r="J443" s="188">
        <v>9</v>
      </c>
      <c r="K443" s="166">
        <v>6</v>
      </c>
      <c r="L443" s="166">
        <v>6</v>
      </c>
      <c r="M443" s="166">
        <v>8</v>
      </c>
      <c r="N443" s="166"/>
      <c r="O443" s="166">
        <v>5.7</v>
      </c>
      <c r="P443" s="175">
        <f t="shared" si="7"/>
        <v>25.2</v>
      </c>
      <c r="Q443" s="163" t="s">
        <v>670</v>
      </c>
      <c r="R443" s="189" t="s">
        <v>708</v>
      </c>
      <c r="S443" s="190">
        <v>352</v>
      </c>
    </row>
    <row r="444" spans="2:19" ht="15.75">
      <c r="B444" s="39" t="s">
        <v>811</v>
      </c>
      <c r="C444" s="163" t="s">
        <v>812</v>
      </c>
      <c r="D444" s="163" t="s">
        <v>16</v>
      </c>
      <c r="E444" s="187">
        <v>0</v>
      </c>
      <c r="F444" s="174">
        <v>20.327999999999999</v>
      </c>
      <c r="G444" s="174">
        <v>0</v>
      </c>
      <c r="H444" s="187"/>
      <c r="I444" s="187"/>
      <c r="J444" s="188">
        <v>11</v>
      </c>
      <c r="K444" s="166">
        <v>7</v>
      </c>
      <c r="L444" s="166">
        <v>7</v>
      </c>
      <c r="M444" s="166">
        <v>11</v>
      </c>
      <c r="N444" s="166"/>
      <c r="O444" s="166">
        <v>6.9</v>
      </c>
      <c r="P444" s="175">
        <f t="shared" si="7"/>
        <v>33.6</v>
      </c>
      <c r="Q444" s="163" t="s">
        <v>670</v>
      </c>
      <c r="R444" s="189" t="s">
        <v>671</v>
      </c>
      <c r="S444" s="190">
        <v>788</v>
      </c>
    </row>
    <row r="445" spans="2:19" ht="15.75">
      <c r="B445" s="39" t="s">
        <v>813</v>
      </c>
      <c r="C445" s="163" t="s">
        <v>814</v>
      </c>
      <c r="D445" s="163" t="s">
        <v>16</v>
      </c>
      <c r="E445" s="187">
        <v>0</v>
      </c>
      <c r="F445" s="174">
        <v>19.602</v>
      </c>
      <c r="G445" s="174">
        <v>0</v>
      </c>
      <c r="H445" s="187"/>
      <c r="I445" s="187"/>
      <c r="J445" s="188">
        <v>13</v>
      </c>
      <c r="K445" s="166">
        <v>6.5</v>
      </c>
      <c r="L445" s="166">
        <v>8</v>
      </c>
      <c r="M445" s="166">
        <v>9.5</v>
      </c>
      <c r="N445" s="166"/>
      <c r="O445" s="166">
        <v>6.3</v>
      </c>
      <c r="P445" s="175">
        <f t="shared" si="7"/>
        <v>32.4</v>
      </c>
      <c r="Q445" s="163" t="s">
        <v>674</v>
      </c>
      <c r="R445" s="189" t="s">
        <v>671</v>
      </c>
      <c r="S445" s="190">
        <v>508</v>
      </c>
    </row>
    <row r="446" spans="2:19" ht="15.75">
      <c r="B446" s="39" t="s">
        <v>815</v>
      </c>
      <c r="C446" s="163" t="s">
        <v>816</v>
      </c>
      <c r="D446" s="163" t="s">
        <v>16</v>
      </c>
      <c r="E446" s="187">
        <v>0</v>
      </c>
      <c r="F446" s="174">
        <v>16.698</v>
      </c>
      <c r="G446" s="174">
        <v>0</v>
      </c>
      <c r="H446" s="187"/>
      <c r="I446" s="187"/>
      <c r="J446" s="188">
        <v>10</v>
      </c>
      <c r="K446" s="166">
        <v>7</v>
      </c>
      <c r="L446" s="166">
        <v>7</v>
      </c>
      <c r="M446" s="166">
        <v>11</v>
      </c>
      <c r="N446" s="166"/>
      <c r="O446" s="166">
        <v>6.9</v>
      </c>
      <c r="P446" s="175">
        <f t="shared" si="7"/>
        <v>27.6</v>
      </c>
      <c r="Q446" s="163" t="s">
        <v>670</v>
      </c>
      <c r="R446" s="189" t="s">
        <v>671</v>
      </c>
      <c r="S446" s="190">
        <v>788</v>
      </c>
    </row>
    <row r="447" spans="2:19" ht="15.75">
      <c r="B447" s="39" t="s">
        <v>817</v>
      </c>
      <c r="C447" s="163" t="s">
        <v>818</v>
      </c>
      <c r="D447" s="163" t="s">
        <v>16</v>
      </c>
      <c r="E447" s="187">
        <v>0</v>
      </c>
      <c r="F447" s="174">
        <v>20.57</v>
      </c>
      <c r="G447" s="174">
        <v>0</v>
      </c>
      <c r="H447" s="187"/>
      <c r="I447" s="187"/>
      <c r="J447" s="188">
        <v>11</v>
      </c>
      <c r="K447" s="166">
        <v>7</v>
      </c>
      <c r="L447" s="166">
        <v>7</v>
      </c>
      <c r="M447" s="166">
        <v>11</v>
      </c>
      <c r="N447" s="166"/>
      <c r="O447" s="166">
        <v>8</v>
      </c>
      <c r="P447" s="175">
        <f t="shared" si="7"/>
        <v>34</v>
      </c>
      <c r="Q447" s="163" t="s">
        <v>670</v>
      </c>
      <c r="R447" s="189" t="s">
        <v>671</v>
      </c>
      <c r="S447" s="190">
        <v>788</v>
      </c>
    </row>
    <row r="448" spans="2:19" ht="16.5" thickBot="1">
      <c r="B448" s="41" t="s">
        <v>819</v>
      </c>
      <c r="C448" s="177" t="s">
        <v>820</v>
      </c>
      <c r="D448" s="177"/>
      <c r="E448" s="195"/>
      <c r="F448" s="179"/>
      <c r="G448" s="179"/>
      <c r="H448" s="195"/>
      <c r="I448" s="195"/>
      <c r="J448" s="196">
        <v>12</v>
      </c>
      <c r="K448" s="197">
        <v>7.7</v>
      </c>
      <c r="L448" s="197">
        <v>7.8</v>
      </c>
      <c r="M448" s="197">
        <v>12</v>
      </c>
      <c r="N448" s="197"/>
      <c r="O448" s="197">
        <v>7.1</v>
      </c>
      <c r="P448" s="183"/>
      <c r="Q448" s="177" t="s">
        <v>674</v>
      </c>
      <c r="R448" s="198" t="s">
        <v>671</v>
      </c>
      <c r="S448" s="194">
        <v>1426</v>
      </c>
    </row>
    <row r="449" spans="2:17">
      <c r="B449" s="13"/>
      <c r="C449" s="13"/>
      <c r="D449" s="13"/>
      <c r="F449" s="13"/>
      <c r="G449" s="13"/>
      <c r="M449" s="1"/>
      <c r="P449" s="7">
        <f t="shared" si="7"/>
        <v>0</v>
      </c>
      <c r="Q449" s="8"/>
    </row>
    <row r="450" spans="2:17" ht="13.5" thickBot="1">
      <c r="B450" s="13"/>
      <c r="C450" s="13"/>
      <c r="D450" s="13"/>
      <c r="F450" s="13"/>
      <c r="G450" s="13"/>
      <c r="M450" s="1"/>
      <c r="P450" s="7"/>
      <c r="Q450" s="8"/>
    </row>
    <row r="451" spans="2:17" ht="12.75" customHeight="1">
      <c r="B451" s="346" t="s">
        <v>821</v>
      </c>
      <c r="C451" s="347"/>
      <c r="D451" s="347"/>
      <c r="E451" s="347"/>
      <c r="F451" s="347"/>
      <c r="G451" s="347"/>
      <c r="H451" s="347"/>
      <c r="I451" s="347"/>
      <c r="J451" s="348"/>
      <c r="P451"/>
      <c r="Q451"/>
    </row>
    <row r="452" spans="2:17" ht="12.75" customHeight="1">
      <c r="B452" s="349"/>
      <c r="C452" s="350"/>
      <c r="D452" s="350"/>
      <c r="E452" s="350"/>
      <c r="F452" s="350"/>
      <c r="G452" s="350"/>
      <c r="H452" s="350"/>
      <c r="I452" s="350"/>
      <c r="J452" s="351"/>
      <c r="P452"/>
      <c r="Q452"/>
    </row>
    <row r="453" spans="2:17" ht="15">
      <c r="B453" s="77" t="s">
        <v>6</v>
      </c>
      <c r="C453" s="48" t="s">
        <v>7</v>
      </c>
      <c r="D453" s="48"/>
      <c r="E453" s="78"/>
      <c r="F453" s="48"/>
      <c r="G453" s="48"/>
      <c r="H453" s="78"/>
      <c r="I453" s="78"/>
      <c r="J453" s="49" t="s">
        <v>13</v>
      </c>
      <c r="P453"/>
      <c r="Q453"/>
    </row>
    <row r="454" spans="2:17" ht="15">
      <c r="B454" s="301" t="s">
        <v>822</v>
      </c>
      <c r="C454" s="232"/>
      <c r="D454" s="232" t="s">
        <v>16</v>
      </c>
      <c r="E454" s="233">
        <v>0</v>
      </c>
      <c r="F454" s="234">
        <v>17.182000000000002</v>
      </c>
      <c r="G454" s="234">
        <v>0</v>
      </c>
      <c r="H454" s="233"/>
      <c r="I454" s="233"/>
      <c r="J454" s="237"/>
      <c r="P454"/>
      <c r="Q454"/>
    </row>
    <row r="455" spans="2:17" ht="15">
      <c r="B455" s="301" t="s">
        <v>823</v>
      </c>
      <c r="C455" s="232"/>
      <c r="D455" s="232" t="s">
        <v>16</v>
      </c>
      <c r="E455" s="233">
        <v>0</v>
      </c>
      <c r="F455" s="234">
        <v>15.73</v>
      </c>
      <c r="G455" s="234">
        <v>0</v>
      </c>
      <c r="H455" s="233"/>
      <c r="I455" s="233"/>
      <c r="J455" s="237"/>
      <c r="P455"/>
      <c r="Q455"/>
    </row>
    <row r="456" spans="2:17" ht="15">
      <c r="B456" s="301" t="s">
        <v>824</v>
      </c>
      <c r="C456" s="232" t="s">
        <v>825</v>
      </c>
      <c r="D456" s="232" t="s">
        <v>16</v>
      </c>
      <c r="E456" s="233">
        <v>0</v>
      </c>
      <c r="F456" s="234">
        <v>32.524999999999999</v>
      </c>
      <c r="G456" s="234">
        <v>0</v>
      </c>
      <c r="H456" s="233"/>
      <c r="I456" s="233"/>
      <c r="J456" s="237">
        <f>107.521*4*2</f>
        <v>860.16800000000001</v>
      </c>
      <c r="P456"/>
      <c r="Q456"/>
    </row>
    <row r="457" spans="2:17" ht="15">
      <c r="B457" s="301" t="s">
        <v>826</v>
      </c>
      <c r="C457" s="232" t="s">
        <v>827</v>
      </c>
      <c r="D457" s="232" t="s">
        <v>16</v>
      </c>
      <c r="E457" s="233">
        <v>0</v>
      </c>
      <c r="F457" s="234">
        <v>27.878</v>
      </c>
      <c r="G457" s="234">
        <v>0</v>
      </c>
      <c r="H457" s="233"/>
      <c r="I457" s="233"/>
      <c r="J457" s="237">
        <f>92.159*4*2</f>
        <v>737.27200000000005</v>
      </c>
      <c r="P457"/>
      <c r="Q457"/>
    </row>
    <row r="458" spans="2:17" ht="15">
      <c r="B458" s="301" t="s">
        <v>828</v>
      </c>
      <c r="C458" s="232" t="s">
        <v>829</v>
      </c>
      <c r="D458" s="232" t="s">
        <v>16</v>
      </c>
      <c r="E458" s="233">
        <v>0</v>
      </c>
      <c r="F458" s="234">
        <v>32.524999999999999</v>
      </c>
      <c r="G458" s="234">
        <v>0</v>
      </c>
      <c r="H458" s="233"/>
      <c r="I458" s="233"/>
      <c r="J458" s="237">
        <f>107.521*4*2</f>
        <v>860.16800000000001</v>
      </c>
      <c r="P458"/>
      <c r="Q458"/>
    </row>
    <row r="459" spans="2:17" ht="15">
      <c r="B459" s="301" t="s">
        <v>830</v>
      </c>
      <c r="C459" s="232" t="s">
        <v>831</v>
      </c>
      <c r="D459" s="232" t="s">
        <v>16</v>
      </c>
      <c r="E459" s="233">
        <v>0</v>
      </c>
      <c r="F459" s="234">
        <v>68.001999999999995</v>
      </c>
      <c r="G459" s="234">
        <v>0</v>
      </c>
      <c r="H459" s="233"/>
      <c r="I459" s="233"/>
      <c r="J459" s="254">
        <v>940</v>
      </c>
      <c r="P459"/>
      <c r="Q459"/>
    </row>
    <row r="460" spans="2:17" ht="15">
      <c r="B460" s="301" t="s">
        <v>832</v>
      </c>
      <c r="C460" s="232" t="s">
        <v>833</v>
      </c>
      <c r="D460" s="232" t="s">
        <v>16</v>
      </c>
      <c r="E460" s="233">
        <v>0</v>
      </c>
      <c r="F460" s="234">
        <v>27.878</v>
      </c>
      <c r="G460" s="234">
        <v>0</v>
      </c>
      <c r="H460" s="233"/>
      <c r="I460" s="233"/>
      <c r="J460" s="237">
        <f>92.159*4*2</f>
        <v>737.27200000000005</v>
      </c>
      <c r="P460"/>
      <c r="Q460"/>
    </row>
    <row r="461" spans="2:17" ht="15.75" thickBot="1">
      <c r="B461" s="46" t="s">
        <v>834</v>
      </c>
      <c r="C461" s="239" t="s">
        <v>835</v>
      </c>
      <c r="D461" s="239" t="s">
        <v>16</v>
      </c>
      <c r="E461" s="240">
        <v>0</v>
      </c>
      <c r="F461" s="241">
        <v>61.104999999999997</v>
      </c>
      <c r="G461" s="241">
        <v>0</v>
      </c>
      <c r="H461" s="240"/>
      <c r="I461" s="240"/>
      <c r="J461" s="255">
        <f>202*4*2</f>
        <v>1616</v>
      </c>
      <c r="P461"/>
      <c r="Q461"/>
    </row>
    <row r="462" spans="2:17">
      <c r="B462" s="13"/>
      <c r="C462" s="13"/>
      <c r="D462" s="13"/>
      <c r="F462" s="13"/>
      <c r="G462" s="13"/>
      <c r="M462" s="1"/>
      <c r="P462" s="7">
        <f t="shared" ref="P462:P680" si="8">+(F462/1.21)*2</f>
        <v>0</v>
      </c>
      <c r="Q462" s="8"/>
    </row>
    <row r="463" spans="2:17" ht="13.5" thickBot="1">
      <c r="B463" s="13"/>
      <c r="C463" s="13"/>
      <c r="D463" s="13"/>
      <c r="F463" s="13"/>
      <c r="G463" s="13"/>
      <c r="M463" s="1"/>
      <c r="P463" s="7"/>
      <c r="Q463" s="8"/>
    </row>
    <row r="464" spans="2:17" ht="12.75" customHeight="1">
      <c r="B464" s="407" t="s">
        <v>836</v>
      </c>
      <c r="C464" s="408"/>
      <c r="D464" s="408"/>
      <c r="E464" s="408"/>
      <c r="F464" s="408"/>
      <c r="G464" s="408"/>
      <c r="H464" s="408"/>
      <c r="I464" s="408"/>
      <c r="J464" s="408"/>
      <c r="K464" s="408"/>
      <c r="L464" s="408"/>
      <c r="M464" s="408"/>
      <c r="N464" s="408"/>
      <c r="O464" s="408"/>
      <c r="P464" s="408"/>
      <c r="Q464" s="409"/>
    </row>
    <row r="465" spans="2:17" ht="12.75" customHeight="1">
      <c r="B465" s="410"/>
      <c r="C465" s="411"/>
      <c r="D465" s="411"/>
      <c r="E465" s="411"/>
      <c r="F465" s="411"/>
      <c r="G465" s="411"/>
      <c r="H465" s="411"/>
      <c r="I465" s="411"/>
      <c r="J465" s="411"/>
      <c r="K465" s="411"/>
      <c r="L465" s="411"/>
      <c r="M465" s="411"/>
      <c r="N465" s="411"/>
      <c r="O465" s="411"/>
      <c r="P465" s="411"/>
      <c r="Q465" s="412"/>
    </row>
    <row r="466" spans="2:17" ht="30">
      <c r="B466" s="53" t="s">
        <v>6</v>
      </c>
      <c r="C466" s="54" t="s">
        <v>7</v>
      </c>
      <c r="D466" s="54"/>
      <c r="E466" s="88"/>
      <c r="F466" s="54"/>
      <c r="G466" s="54"/>
      <c r="H466" s="88"/>
      <c r="I466" s="88"/>
      <c r="J466" s="54" t="s">
        <v>8</v>
      </c>
      <c r="K466" s="54" t="s">
        <v>9</v>
      </c>
      <c r="L466" s="54" t="s">
        <v>10</v>
      </c>
      <c r="M466" s="55" t="s">
        <v>11</v>
      </c>
      <c r="N466" s="54"/>
      <c r="O466" s="54" t="s">
        <v>12</v>
      </c>
      <c r="P466" s="51"/>
      <c r="Q466" s="56" t="s">
        <v>13</v>
      </c>
    </row>
    <row r="467" spans="2:17" ht="15.75">
      <c r="B467" s="50" t="s">
        <v>837</v>
      </c>
      <c r="C467" s="149" t="s">
        <v>838</v>
      </c>
      <c r="D467" s="149" t="s">
        <v>16</v>
      </c>
      <c r="E467" s="150">
        <v>0</v>
      </c>
      <c r="F467" s="151">
        <v>56.143999999999998</v>
      </c>
      <c r="G467" s="151">
        <v>0</v>
      </c>
      <c r="H467" s="150"/>
      <c r="I467" s="150"/>
      <c r="J467" s="152">
        <v>15</v>
      </c>
      <c r="K467" s="152">
        <v>6.95</v>
      </c>
      <c r="L467" s="152">
        <v>11.3</v>
      </c>
      <c r="M467" s="153">
        <v>10</v>
      </c>
      <c r="N467" s="152"/>
      <c r="O467" s="152">
        <v>17</v>
      </c>
      <c r="P467" s="154">
        <f t="shared" si="8"/>
        <v>92.8</v>
      </c>
      <c r="Q467" s="256">
        <f>185.6*4*2</f>
        <v>1484.8</v>
      </c>
    </row>
    <row r="468" spans="2:17" ht="15.75">
      <c r="B468" s="50" t="s">
        <v>839</v>
      </c>
      <c r="C468" s="149" t="s">
        <v>840</v>
      </c>
      <c r="D468" s="149" t="s">
        <v>16</v>
      </c>
      <c r="E468" s="150">
        <v>0</v>
      </c>
      <c r="F468" s="151">
        <v>56.143999999999998</v>
      </c>
      <c r="G468" s="151">
        <v>0</v>
      </c>
      <c r="H468" s="150"/>
      <c r="I468" s="150"/>
      <c r="J468" s="152">
        <v>15</v>
      </c>
      <c r="K468" s="152">
        <v>6.95</v>
      </c>
      <c r="L468" s="152">
        <v>11.3</v>
      </c>
      <c r="M468" s="153">
        <v>11</v>
      </c>
      <c r="N468" s="152"/>
      <c r="O468" s="152">
        <v>17</v>
      </c>
      <c r="P468" s="154">
        <f t="shared" si="8"/>
        <v>92.8</v>
      </c>
      <c r="Q468" s="256">
        <f>185.6*4*2</f>
        <v>1484.8</v>
      </c>
    </row>
    <row r="469" spans="2:17" ht="15.75">
      <c r="B469" s="50" t="s">
        <v>841</v>
      </c>
      <c r="C469" s="149" t="s">
        <v>842</v>
      </c>
      <c r="D469" s="149" t="s">
        <v>16</v>
      </c>
      <c r="E469" s="150">
        <v>0</v>
      </c>
      <c r="F469" s="151">
        <v>58.853999999999999</v>
      </c>
      <c r="G469" s="151">
        <v>0</v>
      </c>
      <c r="H469" s="150"/>
      <c r="I469" s="150"/>
      <c r="J469" s="152">
        <v>17.5</v>
      </c>
      <c r="K469" s="152">
        <v>6.95</v>
      </c>
      <c r="L469" s="152">
        <v>11.3</v>
      </c>
      <c r="M469" s="153">
        <v>13</v>
      </c>
      <c r="N469" s="152"/>
      <c r="O469" s="152">
        <v>17</v>
      </c>
      <c r="P469" s="154">
        <f t="shared" si="8"/>
        <v>97.279338842975207</v>
      </c>
      <c r="Q469" s="256">
        <f>194.559*4*2</f>
        <v>1556.472</v>
      </c>
    </row>
    <row r="470" spans="2:17" ht="15.75">
      <c r="B470" s="50" t="s">
        <v>843</v>
      </c>
      <c r="C470" s="149" t="s">
        <v>844</v>
      </c>
      <c r="D470" s="149" t="s">
        <v>16</v>
      </c>
      <c r="E470" s="150">
        <v>0</v>
      </c>
      <c r="F470" s="151">
        <v>58.853999999999999</v>
      </c>
      <c r="G470" s="151">
        <v>0</v>
      </c>
      <c r="H470" s="150"/>
      <c r="I470" s="150"/>
      <c r="J470" s="152"/>
      <c r="K470" s="152"/>
      <c r="L470" s="152"/>
      <c r="M470" s="153"/>
      <c r="N470" s="152"/>
      <c r="O470" s="152"/>
      <c r="P470" s="154">
        <f t="shared" si="8"/>
        <v>97.279338842975207</v>
      </c>
      <c r="Q470" s="256">
        <f>194.559*4*2</f>
        <v>1556.472</v>
      </c>
    </row>
    <row r="471" spans="2:17" ht="15.75">
      <c r="B471" s="50" t="s">
        <v>845</v>
      </c>
      <c r="C471" s="149" t="s">
        <v>846</v>
      </c>
      <c r="D471" s="149" t="s">
        <v>16</v>
      </c>
      <c r="E471" s="150">
        <v>0</v>
      </c>
      <c r="F471" s="151">
        <v>58.853999999999999</v>
      </c>
      <c r="G471" s="151">
        <v>0</v>
      </c>
      <c r="H471" s="150"/>
      <c r="I471" s="150"/>
      <c r="J471" s="152">
        <v>15</v>
      </c>
      <c r="K471" s="152">
        <v>6.95</v>
      </c>
      <c r="L471" s="152">
        <v>10.8</v>
      </c>
      <c r="M471" s="153">
        <v>8.9</v>
      </c>
      <c r="N471" s="152"/>
      <c r="O471" s="152">
        <v>18</v>
      </c>
      <c r="P471" s="154">
        <f t="shared" si="8"/>
        <v>97.279338842975207</v>
      </c>
      <c r="Q471" s="256">
        <f>194.559*4*2</f>
        <v>1556.472</v>
      </c>
    </row>
    <row r="472" spans="2:17" ht="15.75">
      <c r="B472" s="50" t="s">
        <v>847</v>
      </c>
      <c r="C472" s="149" t="s">
        <v>848</v>
      </c>
      <c r="D472" s="149"/>
      <c r="E472" s="150"/>
      <c r="F472" s="151"/>
      <c r="G472" s="151"/>
      <c r="H472" s="150"/>
      <c r="I472" s="150"/>
      <c r="J472" s="152"/>
      <c r="K472" s="152"/>
      <c r="L472" s="152"/>
      <c r="M472" s="153"/>
      <c r="N472" s="152"/>
      <c r="O472" s="152"/>
      <c r="P472" s="154"/>
      <c r="Q472" s="256">
        <v>1696</v>
      </c>
    </row>
    <row r="473" spans="2:17" ht="15.75">
      <c r="B473" s="86" t="s">
        <v>849</v>
      </c>
      <c r="C473" s="257" t="s">
        <v>850</v>
      </c>
      <c r="D473" s="257"/>
      <c r="E473" s="258"/>
      <c r="F473" s="259"/>
      <c r="G473" s="259"/>
      <c r="H473" s="258"/>
      <c r="I473" s="258"/>
      <c r="J473" s="260">
        <v>28.5</v>
      </c>
      <c r="K473" s="260">
        <v>11.95</v>
      </c>
      <c r="L473" s="260">
        <v>20.9</v>
      </c>
      <c r="M473" s="261">
        <v>15.8</v>
      </c>
      <c r="N473" s="260"/>
      <c r="O473" s="260">
        <v>33.5</v>
      </c>
      <c r="P473" s="262"/>
      <c r="Q473" s="263">
        <v>11840</v>
      </c>
    </row>
    <row r="474" spans="2:17" ht="16.5" thickBot="1">
      <c r="B474" s="87" t="s">
        <v>851</v>
      </c>
      <c r="C474" s="156" t="s">
        <v>852</v>
      </c>
      <c r="D474" s="156"/>
      <c r="E474" s="157"/>
      <c r="F474" s="158"/>
      <c r="G474" s="158"/>
      <c r="H474" s="157"/>
      <c r="I474" s="157"/>
      <c r="J474" s="161">
        <v>28.5</v>
      </c>
      <c r="K474" s="161">
        <v>9.9499999999999993</v>
      </c>
      <c r="L474" s="161">
        <v>19.899999999999999</v>
      </c>
      <c r="M474" s="159">
        <v>17.899999999999999</v>
      </c>
      <c r="N474" s="160"/>
      <c r="O474" s="161">
        <v>30</v>
      </c>
      <c r="P474" s="162"/>
      <c r="Q474" s="264">
        <v>16160</v>
      </c>
    </row>
    <row r="475" spans="2:17">
      <c r="B475" s="13"/>
      <c r="C475" s="13"/>
      <c r="D475" s="13"/>
      <c r="E475" s="1"/>
      <c r="F475" s="3"/>
      <c r="G475" s="3"/>
      <c r="H475" s="1"/>
      <c r="I475" s="1"/>
      <c r="J475" s="1"/>
      <c r="K475" s="1"/>
      <c r="L475" s="1"/>
      <c r="P475" s="7"/>
      <c r="Q475" s="8"/>
    </row>
    <row r="476" spans="2:17" ht="13.5" thickBot="1">
      <c r="B476" s="13"/>
      <c r="C476" s="13"/>
      <c r="D476" s="13"/>
      <c r="E476" s="1"/>
      <c r="F476" s="3"/>
      <c r="G476" s="3"/>
      <c r="H476" s="1"/>
      <c r="I476" s="1"/>
      <c r="J476" s="1"/>
      <c r="K476" s="1"/>
      <c r="L476" s="1"/>
      <c r="P476" s="7"/>
      <c r="Q476" s="8"/>
    </row>
    <row r="477" spans="2:17" ht="12.75" customHeight="1">
      <c r="B477" s="369" t="s">
        <v>853</v>
      </c>
      <c r="C477" s="375"/>
      <c r="D477" s="375"/>
      <c r="E477" s="375"/>
      <c r="F477" s="375"/>
      <c r="G477" s="375"/>
      <c r="H477" s="375"/>
      <c r="I477" s="375"/>
      <c r="J477" s="375"/>
      <c r="K477" s="375"/>
      <c r="L477" s="375"/>
      <c r="M477" s="376"/>
      <c r="P477" s="7"/>
      <c r="Q477" s="8"/>
    </row>
    <row r="478" spans="2:17">
      <c r="B478" s="377"/>
      <c r="C478" s="378"/>
      <c r="D478" s="378"/>
      <c r="E478" s="378"/>
      <c r="F478" s="378"/>
      <c r="G478" s="378"/>
      <c r="H478" s="378"/>
      <c r="I478" s="378"/>
      <c r="J478" s="378"/>
      <c r="K478" s="378"/>
      <c r="L478" s="378"/>
      <c r="M478" s="379"/>
      <c r="P478" s="7"/>
      <c r="Q478" s="8"/>
    </row>
    <row r="479" spans="2:17" ht="30">
      <c r="B479" s="59" t="s">
        <v>6</v>
      </c>
      <c r="C479" s="60" t="s">
        <v>7</v>
      </c>
      <c r="D479" s="60"/>
      <c r="E479" s="80"/>
      <c r="F479" s="61"/>
      <c r="G479" s="61"/>
      <c r="H479" s="80"/>
      <c r="I479" s="80"/>
      <c r="J479" s="61" t="s">
        <v>8</v>
      </c>
      <c r="K479" s="61" t="s">
        <v>9</v>
      </c>
      <c r="L479" s="61" t="s">
        <v>337</v>
      </c>
      <c r="M479" s="90" t="s">
        <v>854</v>
      </c>
      <c r="P479" s="7"/>
      <c r="Q479" s="8"/>
    </row>
    <row r="480" spans="2:17" ht="15.75">
      <c r="B480" s="89" t="s">
        <v>855</v>
      </c>
      <c r="C480" s="211" t="s">
        <v>856</v>
      </c>
      <c r="D480" s="199"/>
      <c r="E480" s="200"/>
      <c r="F480" s="201"/>
      <c r="G480" s="201"/>
      <c r="H480" s="200"/>
      <c r="I480" s="200"/>
      <c r="J480" s="202">
        <v>7.8</v>
      </c>
      <c r="K480" s="202">
        <v>3.6</v>
      </c>
      <c r="L480" s="203">
        <v>4.76</v>
      </c>
      <c r="M480" s="212" t="s">
        <v>857</v>
      </c>
      <c r="O480" s="1"/>
      <c r="P480" s="7"/>
      <c r="Q480" s="8"/>
    </row>
    <row r="481" spans="2:17" ht="15.75">
      <c r="B481" s="57" t="s">
        <v>858</v>
      </c>
      <c r="C481" s="199" t="s">
        <v>859</v>
      </c>
      <c r="D481" s="199"/>
      <c r="E481" s="200"/>
      <c r="F481" s="201"/>
      <c r="G481" s="201"/>
      <c r="H481" s="200"/>
      <c r="I481" s="200"/>
      <c r="J481" s="202">
        <v>7.8</v>
      </c>
      <c r="K481" s="202">
        <v>3.6</v>
      </c>
      <c r="L481" s="203">
        <v>6.35</v>
      </c>
      <c r="M481" s="212" t="s">
        <v>857</v>
      </c>
      <c r="O481" s="1"/>
      <c r="P481" s="7"/>
      <c r="Q481" s="8"/>
    </row>
    <row r="482" spans="2:17" ht="15.75">
      <c r="B482" s="57" t="s">
        <v>860</v>
      </c>
      <c r="C482" s="199" t="s">
        <v>861</v>
      </c>
      <c r="D482" s="199"/>
      <c r="E482" s="200"/>
      <c r="F482" s="201"/>
      <c r="G482" s="201"/>
      <c r="H482" s="200"/>
      <c r="I482" s="200"/>
      <c r="J482" s="202">
        <v>8.4</v>
      </c>
      <c r="K482" s="202">
        <v>3.6</v>
      </c>
      <c r="L482" s="203">
        <v>4.76</v>
      </c>
      <c r="M482" s="212" t="s">
        <v>857</v>
      </c>
      <c r="O482" s="1"/>
      <c r="P482" s="7"/>
      <c r="Q482" s="8"/>
    </row>
    <row r="483" spans="2:17" ht="15.75">
      <c r="B483" s="57" t="s">
        <v>862</v>
      </c>
      <c r="C483" s="199" t="s">
        <v>863</v>
      </c>
      <c r="D483" s="199"/>
      <c r="E483" s="200"/>
      <c r="F483" s="201"/>
      <c r="G483" s="201"/>
      <c r="H483" s="200"/>
      <c r="I483" s="200"/>
      <c r="J483" s="202">
        <v>8.4</v>
      </c>
      <c r="K483" s="202">
        <v>3.6</v>
      </c>
      <c r="L483" s="203">
        <v>6.35</v>
      </c>
      <c r="M483" s="212" t="s">
        <v>857</v>
      </c>
      <c r="O483" s="1"/>
      <c r="P483" s="7"/>
      <c r="Q483" s="8"/>
    </row>
    <row r="484" spans="2:17" ht="15.75">
      <c r="B484" s="89" t="s">
        <v>864</v>
      </c>
      <c r="C484" s="199" t="s">
        <v>865</v>
      </c>
      <c r="D484" s="199"/>
      <c r="E484" s="200"/>
      <c r="F484" s="201"/>
      <c r="G484" s="201"/>
      <c r="H484" s="200"/>
      <c r="I484" s="200"/>
      <c r="J484" s="202">
        <v>8.4</v>
      </c>
      <c r="K484" s="202">
        <v>3.6</v>
      </c>
      <c r="L484" s="203">
        <v>7.9</v>
      </c>
      <c r="M484" s="212" t="s">
        <v>857</v>
      </c>
      <c r="O484" s="1"/>
      <c r="P484" s="7"/>
      <c r="Q484" s="8"/>
    </row>
    <row r="485" spans="2:17" ht="15.75">
      <c r="B485" s="57" t="s">
        <v>866</v>
      </c>
      <c r="C485" s="199" t="s">
        <v>867</v>
      </c>
      <c r="D485" s="199"/>
      <c r="E485" s="200"/>
      <c r="F485" s="201"/>
      <c r="G485" s="201"/>
      <c r="H485" s="200"/>
      <c r="I485" s="200"/>
      <c r="J485" s="202">
        <v>7</v>
      </c>
      <c r="K485" s="202">
        <v>3.8</v>
      </c>
      <c r="L485" s="203">
        <v>4.76</v>
      </c>
      <c r="M485" s="212" t="s">
        <v>857</v>
      </c>
      <c r="O485" s="1"/>
      <c r="P485" s="7"/>
      <c r="Q485" s="8"/>
    </row>
    <row r="486" spans="2:17" ht="15.75">
      <c r="B486" s="57" t="s">
        <v>868</v>
      </c>
      <c r="C486" s="199" t="s">
        <v>869</v>
      </c>
      <c r="D486" s="199"/>
      <c r="E486" s="200"/>
      <c r="F486" s="201"/>
      <c r="G486" s="201"/>
      <c r="H486" s="200"/>
      <c r="I486" s="200"/>
      <c r="J486" s="202">
        <v>7</v>
      </c>
      <c r="K486" s="202">
        <v>3.8</v>
      </c>
      <c r="L486" s="203">
        <v>6.35</v>
      </c>
      <c r="M486" s="212" t="s">
        <v>857</v>
      </c>
      <c r="O486" s="1"/>
      <c r="P486" s="7"/>
      <c r="Q486" s="8"/>
    </row>
    <row r="487" spans="2:17" ht="15.75">
      <c r="B487" s="57" t="s">
        <v>870</v>
      </c>
      <c r="C487" s="199" t="s">
        <v>871</v>
      </c>
      <c r="D487" s="199"/>
      <c r="E487" s="200"/>
      <c r="F487" s="201"/>
      <c r="G487" s="201"/>
      <c r="H487" s="200"/>
      <c r="I487" s="200"/>
      <c r="J487" s="202">
        <v>8.4</v>
      </c>
      <c r="K487" s="202">
        <v>3.8</v>
      </c>
      <c r="L487" s="203">
        <v>7.9</v>
      </c>
      <c r="M487" s="212" t="s">
        <v>857</v>
      </c>
      <c r="O487" s="1"/>
      <c r="P487" s="7"/>
      <c r="Q487" s="8"/>
    </row>
    <row r="488" spans="2:17" ht="15.75">
      <c r="B488" s="57" t="s">
        <v>872</v>
      </c>
      <c r="C488" s="199" t="s">
        <v>873</v>
      </c>
      <c r="D488" s="199"/>
      <c r="E488" s="200"/>
      <c r="F488" s="201"/>
      <c r="G488" s="201"/>
      <c r="H488" s="200"/>
      <c r="I488" s="200"/>
      <c r="J488" s="202">
        <v>8.4</v>
      </c>
      <c r="K488" s="202">
        <v>3.8</v>
      </c>
      <c r="L488" s="203">
        <v>11.1</v>
      </c>
      <c r="M488" s="212" t="s">
        <v>857</v>
      </c>
      <c r="O488" s="1"/>
      <c r="P488" s="7"/>
      <c r="Q488" s="8"/>
    </row>
    <row r="489" spans="2:17" ht="15.75">
      <c r="B489" s="57" t="s">
        <v>874</v>
      </c>
      <c r="C489" s="199" t="s">
        <v>875</v>
      </c>
      <c r="D489" s="199"/>
      <c r="E489" s="200"/>
      <c r="F489" s="201"/>
      <c r="G489" s="201"/>
      <c r="H489" s="200"/>
      <c r="I489" s="200"/>
      <c r="J489" s="202">
        <v>8.4</v>
      </c>
      <c r="K489" s="202">
        <v>4.7</v>
      </c>
      <c r="L489" s="203">
        <v>4.76</v>
      </c>
      <c r="M489" s="212" t="s">
        <v>857</v>
      </c>
      <c r="O489" s="1"/>
      <c r="P489" s="7"/>
      <c r="Q489" s="8"/>
    </row>
    <row r="490" spans="2:17" ht="15.75">
      <c r="B490" s="57" t="s">
        <v>876</v>
      </c>
      <c r="C490" s="199" t="s">
        <v>877</v>
      </c>
      <c r="D490" s="199"/>
      <c r="E490" s="200"/>
      <c r="F490" s="201"/>
      <c r="G490" s="201"/>
      <c r="H490" s="200"/>
      <c r="I490" s="200"/>
      <c r="J490" s="202">
        <v>8.4</v>
      </c>
      <c r="K490" s="202">
        <v>4.7</v>
      </c>
      <c r="L490" s="203">
        <v>6.35</v>
      </c>
      <c r="M490" s="212" t="s">
        <v>857</v>
      </c>
      <c r="O490" s="1"/>
      <c r="P490" s="7"/>
      <c r="Q490" s="8"/>
    </row>
    <row r="491" spans="2:17" ht="15.75">
      <c r="B491" s="57" t="s">
        <v>878</v>
      </c>
      <c r="C491" s="199" t="s">
        <v>879</v>
      </c>
      <c r="D491" s="199"/>
      <c r="E491" s="200"/>
      <c r="F491" s="201"/>
      <c r="G491" s="201"/>
      <c r="H491" s="200"/>
      <c r="I491" s="200"/>
      <c r="J491" s="202">
        <v>8.4</v>
      </c>
      <c r="K491" s="202">
        <v>4.7</v>
      </c>
      <c r="L491" s="203">
        <v>7.9</v>
      </c>
      <c r="M491" s="212" t="s">
        <v>857</v>
      </c>
      <c r="O491" s="1"/>
      <c r="P491" s="7"/>
      <c r="Q491" s="8"/>
    </row>
    <row r="492" spans="2:17" ht="15.75">
      <c r="B492" s="57" t="s">
        <v>880</v>
      </c>
      <c r="C492" s="199" t="s">
        <v>881</v>
      </c>
      <c r="D492" s="199"/>
      <c r="E492" s="200"/>
      <c r="F492" s="201"/>
      <c r="G492" s="201"/>
      <c r="H492" s="200"/>
      <c r="I492" s="200"/>
      <c r="J492" s="202">
        <v>8.4</v>
      </c>
      <c r="K492" s="202">
        <v>4.7</v>
      </c>
      <c r="L492" s="203">
        <v>9.52</v>
      </c>
      <c r="M492" s="212" t="s">
        <v>857</v>
      </c>
      <c r="O492" s="1"/>
      <c r="P492" s="7"/>
      <c r="Q492" s="8"/>
    </row>
    <row r="493" spans="2:17" ht="15.75">
      <c r="B493" s="57" t="s">
        <v>882</v>
      </c>
      <c r="C493" s="199" t="s">
        <v>883</v>
      </c>
      <c r="D493" s="199"/>
      <c r="E493" s="200"/>
      <c r="F493" s="201"/>
      <c r="G493" s="201"/>
      <c r="H493" s="200"/>
      <c r="I493" s="200"/>
      <c r="J493" s="202">
        <v>8.4</v>
      </c>
      <c r="K493" s="202">
        <v>4.7</v>
      </c>
      <c r="L493" s="203">
        <v>11.1</v>
      </c>
      <c r="M493" s="212" t="s">
        <v>857</v>
      </c>
      <c r="O493" s="1"/>
      <c r="P493" s="7"/>
      <c r="Q493" s="8"/>
    </row>
    <row r="494" spans="2:17" ht="15.75">
      <c r="B494" s="57" t="s">
        <v>884</v>
      </c>
      <c r="C494" s="199" t="s">
        <v>885</v>
      </c>
      <c r="D494" s="199"/>
      <c r="E494" s="200"/>
      <c r="F494" s="201"/>
      <c r="G494" s="201"/>
      <c r="H494" s="200"/>
      <c r="I494" s="200"/>
      <c r="J494" s="202">
        <v>8.4</v>
      </c>
      <c r="K494" s="202">
        <v>4.7</v>
      </c>
      <c r="L494" s="203">
        <v>12.7</v>
      </c>
      <c r="M494" s="212" t="s">
        <v>857</v>
      </c>
      <c r="O494" s="1"/>
      <c r="P494" s="7"/>
      <c r="Q494" s="8"/>
    </row>
    <row r="495" spans="2:17" ht="15.75">
      <c r="B495" s="57" t="s">
        <v>886</v>
      </c>
      <c r="C495" s="199" t="s">
        <v>887</v>
      </c>
      <c r="D495" s="199"/>
      <c r="E495" s="200"/>
      <c r="F495" s="201"/>
      <c r="G495" s="201"/>
      <c r="H495" s="200"/>
      <c r="I495" s="200"/>
      <c r="J495" s="202">
        <v>8.4</v>
      </c>
      <c r="K495" s="202">
        <v>4.7</v>
      </c>
      <c r="L495" s="203">
        <v>15.87</v>
      </c>
      <c r="M495" s="212" t="s">
        <v>857</v>
      </c>
      <c r="O495" s="1"/>
      <c r="P495" s="7"/>
      <c r="Q495" s="8"/>
    </row>
    <row r="496" spans="2:17" ht="15.75">
      <c r="B496" s="57" t="s">
        <v>888</v>
      </c>
      <c r="C496" s="199" t="s">
        <v>889</v>
      </c>
      <c r="D496" s="199"/>
      <c r="E496" s="200"/>
      <c r="F496" s="201"/>
      <c r="G496" s="201"/>
      <c r="H496" s="200"/>
      <c r="I496" s="200"/>
      <c r="J496" s="202">
        <v>9.4</v>
      </c>
      <c r="K496" s="202">
        <v>4.7</v>
      </c>
      <c r="L496" s="203">
        <v>9.52</v>
      </c>
      <c r="M496" s="212" t="s">
        <v>857</v>
      </c>
      <c r="O496" s="1"/>
      <c r="P496" s="7"/>
      <c r="Q496" s="8"/>
    </row>
    <row r="497" spans="2:17" ht="15.75">
      <c r="B497" s="57" t="s">
        <v>890</v>
      </c>
      <c r="C497" s="199" t="s">
        <v>891</v>
      </c>
      <c r="D497" s="199"/>
      <c r="E497" s="200"/>
      <c r="F497" s="201"/>
      <c r="G497" s="201"/>
      <c r="H497" s="200"/>
      <c r="I497" s="200"/>
      <c r="J497" s="202">
        <v>8.4</v>
      </c>
      <c r="K497" s="202">
        <v>3.8</v>
      </c>
      <c r="L497" s="203">
        <v>6.35</v>
      </c>
      <c r="M497" s="212" t="s">
        <v>857</v>
      </c>
      <c r="O497" s="1"/>
      <c r="P497" s="7"/>
      <c r="Q497" s="8"/>
    </row>
    <row r="498" spans="2:17" ht="15.75">
      <c r="B498" s="57" t="s">
        <v>892</v>
      </c>
      <c r="C498" s="199" t="s">
        <v>893</v>
      </c>
      <c r="D498" s="199"/>
      <c r="E498" s="200"/>
      <c r="F498" s="201"/>
      <c r="G498" s="201"/>
      <c r="H498" s="200"/>
      <c r="I498" s="200"/>
      <c r="J498" s="202">
        <v>9.4</v>
      </c>
      <c r="K498" s="202">
        <v>4.7</v>
      </c>
      <c r="L498" s="203">
        <v>6.35</v>
      </c>
      <c r="M498" s="212" t="s">
        <v>857</v>
      </c>
      <c r="O498" s="1"/>
      <c r="P498" s="7"/>
      <c r="Q498" s="8"/>
    </row>
    <row r="499" spans="2:17" ht="15.75">
      <c r="B499" s="57" t="s">
        <v>894</v>
      </c>
      <c r="C499" s="199" t="s">
        <v>895</v>
      </c>
      <c r="D499" s="199"/>
      <c r="E499" s="200"/>
      <c r="F499" s="201"/>
      <c r="G499" s="201"/>
      <c r="H499" s="200"/>
      <c r="I499" s="200"/>
      <c r="J499" s="202">
        <v>9.4</v>
      </c>
      <c r="K499" s="202">
        <v>4.7</v>
      </c>
      <c r="L499" s="203">
        <v>4.76</v>
      </c>
      <c r="M499" s="212" t="s">
        <v>857</v>
      </c>
      <c r="O499" s="1"/>
      <c r="P499" s="7"/>
      <c r="Q499" s="8"/>
    </row>
    <row r="500" spans="2:17" ht="15.75">
      <c r="B500" s="57" t="s">
        <v>896</v>
      </c>
      <c r="C500" s="199" t="s">
        <v>897</v>
      </c>
      <c r="D500" s="199"/>
      <c r="E500" s="200"/>
      <c r="F500" s="201"/>
      <c r="G500" s="201"/>
      <c r="H500" s="200"/>
      <c r="I500" s="200"/>
      <c r="J500" s="202">
        <v>10</v>
      </c>
      <c r="K500" s="202">
        <v>6</v>
      </c>
      <c r="L500" s="203">
        <v>6.35</v>
      </c>
      <c r="M500" s="212" t="s">
        <v>857</v>
      </c>
      <c r="O500" s="1"/>
      <c r="P500" s="7"/>
      <c r="Q500" s="8"/>
    </row>
    <row r="501" spans="2:17" ht="15.75">
      <c r="B501" s="57" t="s">
        <v>898</v>
      </c>
      <c r="C501" s="199" t="s">
        <v>899</v>
      </c>
      <c r="D501" s="199"/>
      <c r="E501" s="200"/>
      <c r="F501" s="201"/>
      <c r="G501" s="201"/>
      <c r="H501" s="200"/>
      <c r="I501" s="200"/>
      <c r="J501" s="202">
        <v>10</v>
      </c>
      <c r="K501" s="202">
        <v>6</v>
      </c>
      <c r="L501" s="203">
        <v>4.76</v>
      </c>
      <c r="M501" s="212" t="s">
        <v>857</v>
      </c>
      <c r="O501" s="1"/>
      <c r="P501" s="7"/>
      <c r="Q501" s="8"/>
    </row>
    <row r="502" spans="2:17" ht="15.75">
      <c r="B502" s="57" t="s">
        <v>900</v>
      </c>
      <c r="C502" s="199" t="s">
        <v>901</v>
      </c>
      <c r="D502" s="199"/>
      <c r="E502" s="200"/>
      <c r="F502" s="201"/>
      <c r="G502" s="201"/>
      <c r="H502" s="200"/>
      <c r="I502" s="200"/>
      <c r="J502" s="202">
        <v>7.8</v>
      </c>
      <c r="K502" s="202">
        <v>3.6</v>
      </c>
      <c r="L502" s="203">
        <v>7.9</v>
      </c>
      <c r="M502" s="212" t="s">
        <v>857</v>
      </c>
      <c r="O502" s="1"/>
      <c r="P502" s="7"/>
      <c r="Q502" s="8"/>
    </row>
    <row r="503" spans="2:17" ht="15.75">
      <c r="B503" s="57" t="s">
        <v>902</v>
      </c>
      <c r="C503" s="199" t="s">
        <v>903</v>
      </c>
      <c r="D503" s="199"/>
      <c r="E503" s="200"/>
      <c r="F503" s="201"/>
      <c r="G503" s="201"/>
      <c r="H503" s="200"/>
      <c r="I503" s="200"/>
      <c r="J503" s="202"/>
      <c r="K503" s="202"/>
      <c r="L503" s="203"/>
      <c r="M503" s="212" t="s">
        <v>857</v>
      </c>
      <c r="O503" s="1"/>
      <c r="P503" s="7"/>
      <c r="Q503" s="8"/>
    </row>
    <row r="504" spans="2:17" ht="15.75">
      <c r="B504" s="57" t="s">
        <v>904</v>
      </c>
      <c r="C504" s="199" t="s">
        <v>905</v>
      </c>
      <c r="D504" s="199"/>
      <c r="E504" s="200"/>
      <c r="F504" s="201"/>
      <c r="G504" s="201"/>
      <c r="H504" s="200"/>
      <c r="I504" s="200"/>
      <c r="J504" s="202">
        <v>10</v>
      </c>
      <c r="K504" s="202">
        <v>6</v>
      </c>
      <c r="L504" s="203">
        <v>7.9</v>
      </c>
      <c r="M504" s="212" t="s">
        <v>857</v>
      </c>
      <c r="O504" s="1"/>
      <c r="P504" s="7"/>
      <c r="Q504" s="8"/>
    </row>
    <row r="505" spans="2:17" ht="15.75">
      <c r="B505" s="57" t="s">
        <v>906</v>
      </c>
      <c r="C505" s="199" t="s">
        <v>907</v>
      </c>
      <c r="D505" s="199"/>
      <c r="E505" s="200"/>
      <c r="F505" s="201"/>
      <c r="G505" s="201"/>
      <c r="H505" s="200"/>
      <c r="I505" s="200"/>
      <c r="J505" s="202">
        <v>8.4</v>
      </c>
      <c r="K505" s="202">
        <v>3.8</v>
      </c>
      <c r="L505" s="203">
        <v>4.76</v>
      </c>
      <c r="M505" s="212" t="s">
        <v>857</v>
      </c>
      <c r="O505" s="1"/>
      <c r="P505" s="7"/>
      <c r="Q505" s="8"/>
    </row>
    <row r="506" spans="2:17" ht="15.75">
      <c r="B506" s="57" t="s">
        <v>908</v>
      </c>
      <c r="C506" s="199" t="s">
        <v>909</v>
      </c>
      <c r="D506" s="199"/>
      <c r="E506" s="200"/>
      <c r="F506" s="201"/>
      <c r="G506" s="201"/>
      <c r="H506" s="200"/>
      <c r="I506" s="200"/>
      <c r="J506" s="202">
        <v>9.4</v>
      </c>
      <c r="K506" s="202">
        <v>4.7</v>
      </c>
      <c r="L506" s="203">
        <v>7.9</v>
      </c>
      <c r="M506" s="212" t="s">
        <v>857</v>
      </c>
      <c r="O506" s="1"/>
      <c r="P506" s="7"/>
      <c r="Q506" s="8"/>
    </row>
    <row r="507" spans="2:17" ht="15.75">
      <c r="B507" s="57" t="s">
        <v>910</v>
      </c>
      <c r="C507" s="199" t="s">
        <v>911</v>
      </c>
      <c r="D507" s="199"/>
      <c r="E507" s="200"/>
      <c r="F507" s="201"/>
      <c r="G507" s="201"/>
      <c r="H507" s="200"/>
      <c r="I507" s="200"/>
      <c r="J507" s="202">
        <v>9.4</v>
      </c>
      <c r="K507" s="202">
        <v>4.7</v>
      </c>
      <c r="L507" s="203">
        <v>11.1</v>
      </c>
      <c r="M507" s="212" t="s">
        <v>857</v>
      </c>
      <c r="O507" s="1"/>
      <c r="P507" s="7"/>
      <c r="Q507" s="8"/>
    </row>
    <row r="508" spans="2:17" ht="15.75">
      <c r="B508" s="57" t="s">
        <v>912</v>
      </c>
      <c r="C508" s="199" t="s">
        <v>913</v>
      </c>
      <c r="D508" s="199"/>
      <c r="E508" s="200"/>
      <c r="F508" s="201"/>
      <c r="G508" s="201"/>
      <c r="H508" s="200"/>
      <c r="I508" s="200"/>
      <c r="J508" s="202">
        <v>8.4</v>
      </c>
      <c r="K508" s="202">
        <v>3.8</v>
      </c>
      <c r="L508" s="203">
        <v>9.52</v>
      </c>
      <c r="M508" s="212" t="s">
        <v>857</v>
      </c>
      <c r="O508" s="1"/>
      <c r="P508" s="7"/>
      <c r="Q508" s="8"/>
    </row>
    <row r="509" spans="2:17" ht="15.75">
      <c r="B509" s="57" t="s">
        <v>914</v>
      </c>
      <c r="C509" s="199" t="s">
        <v>915</v>
      </c>
      <c r="D509" s="199"/>
      <c r="E509" s="200"/>
      <c r="F509" s="201"/>
      <c r="G509" s="201"/>
      <c r="H509" s="200"/>
      <c r="I509" s="200"/>
      <c r="J509" s="202">
        <v>8.4</v>
      </c>
      <c r="K509" s="202">
        <v>3.6</v>
      </c>
      <c r="L509" s="203">
        <v>9.52</v>
      </c>
      <c r="M509" s="212" t="s">
        <v>857</v>
      </c>
      <c r="O509" s="1"/>
      <c r="P509" s="7"/>
      <c r="Q509" s="8"/>
    </row>
    <row r="510" spans="2:17" ht="15.75">
      <c r="B510" s="57" t="s">
        <v>916</v>
      </c>
      <c r="C510" s="199" t="s">
        <v>917</v>
      </c>
      <c r="D510" s="199"/>
      <c r="E510" s="200"/>
      <c r="F510" s="201"/>
      <c r="G510" s="201"/>
      <c r="H510" s="200"/>
      <c r="I510" s="200"/>
      <c r="J510" s="202"/>
      <c r="K510" s="202"/>
      <c r="L510" s="203"/>
      <c r="M510" s="296">
        <v>170500</v>
      </c>
      <c r="O510" s="1"/>
      <c r="P510" s="7"/>
      <c r="Q510" s="8"/>
    </row>
    <row r="511" spans="2:17" ht="15.75">
      <c r="B511" s="57" t="s">
        <v>918</v>
      </c>
      <c r="C511" s="199" t="s">
        <v>919</v>
      </c>
      <c r="D511" s="199"/>
      <c r="E511" s="200"/>
      <c r="F511" s="201"/>
      <c r="G511" s="201"/>
      <c r="H511" s="200"/>
      <c r="I511" s="200"/>
      <c r="J511" s="202">
        <v>10</v>
      </c>
      <c r="K511" s="202">
        <v>6</v>
      </c>
      <c r="L511" s="203">
        <v>9.52</v>
      </c>
      <c r="M511" s="212" t="s">
        <v>857</v>
      </c>
      <c r="O511" s="1"/>
      <c r="P511" s="7"/>
      <c r="Q511" s="8"/>
    </row>
    <row r="512" spans="2:17" ht="15.75">
      <c r="B512" s="57" t="s">
        <v>920</v>
      </c>
      <c r="C512" s="199" t="s">
        <v>921</v>
      </c>
      <c r="D512" s="199"/>
      <c r="E512" s="200"/>
      <c r="F512" s="201"/>
      <c r="G512" s="201"/>
      <c r="H512" s="200"/>
      <c r="I512" s="200"/>
      <c r="J512" s="202">
        <v>11</v>
      </c>
      <c r="K512" s="202">
        <v>6</v>
      </c>
      <c r="L512" s="203">
        <v>7</v>
      </c>
      <c r="M512" s="212" t="s">
        <v>857</v>
      </c>
      <c r="O512" s="1"/>
      <c r="P512" s="7"/>
      <c r="Q512" s="8"/>
    </row>
    <row r="513" spans="2:17" ht="15.75">
      <c r="B513" s="57" t="s">
        <v>922</v>
      </c>
      <c r="C513" s="199" t="s">
        <v>923</v>
      </c>
      <c r="D513" s="199"/>
      <c r="E513" s="200"/>
      <c r="F513" s="201"/>
      <c r="G513" s="201"/>
      <c r="H513" s="200"/>
      <c r="I513" s="200"/>
      <c r="J513" s="202">
        <v>11</v>
      </c>
      <c r="K513" s="202">
        <v>6</v>
      </c>
      <c r="L513" s="203">
        <v>6</v>
      </c>
      <c r="M513" s="212" t="s">
        <v>857</v>
      </c>
      <c r="O513" s="1"/>
      <c r="P513" s="7"/>
      <c r="Q513" s="8"/>
    </row>
    <row r="514" spans="2:17" ht="15.75">
      <c r="B514" s="57" t="s">
        <v>924</v>
      </c>
      <c r="C514" s="199" t="s">
        <v>925</v>
      </c>
      <c r="D514" s="199"/>
      <c r="E514" s="200"/>
      <c r="F514" s="201"/>
      <c r="G514" s="201"/>
      <c r="H514" s="200"/>
      <c r="I514" s="200"/>
      <c r="J514" s="202">
        <v>7</v>
      </c>
      <c r="K514" s="202">
        <v>4.7</v>
      </c>
      <c r="L514" s="203">
        <v>7.9</v>
      </c>
      <c r="M514" s="212" t="s">
        <v>857</v>
      </c>
      <c r="O514" s="1"/>
      <c r="P514" s="7"/>
      <c r="Q514" s="8"/>
    </row>
    <row r="515" spans="2:17" ht="15.75">
      <c r="B515" s="57" t="s">
        <v>926</v>
      </c>
      <c r="C515" s="199" t="s">
        <v>927</v>
      </c>
      <c r="D515" s="199"/>
      <c r="E515" s="200"/>
      <c r="F515" s="201"/>
      <c r="G515" s="201"/>
      <c r="H515" s="200"/>
      <c r="I515" s="200"/>
      <c r="J515" s="202">
        <v>8</v>
      </c>
      <c r="K515" s="202">
        <v>4</v>
      </c>
      <c r="L515" s="203">
        <v>5</v>
      </c>
      <c r="M515" s="212" t="s">
        <v>857</v>
      </c>
      <c r="O515" s="1"/>
      <c r="P515" s="7"/>
      <c r="Q515" s="8"/>
    </row>
    <row r="516" spans="2:17" ht="15.75">
      <c r="B516" s="57" t="s">
        <v>928</v>
      </c>
      <c r="C516" s="199" t="s">
        <v>929</v>
      </c>
      <c r="D516" s="199"/>
      <c r="E516" s="200"/>
      <c r="F516" s="201"/>
      <c r="G516" s="201"/>
      <c r="H516" s="200"/>
      <c r="I516" s="200"/>
      <c r="J516" s="202">
        <v>8</v>
      </c>
      <c r="K516" s="202">
        <v>5</v>
      </c>
      <c r="L516" s="203">
        <v>6</v>
      </c>
      <c r="M516" s="212" t="s">
        <v>857</v>
      </c>
      <c r="O516" s="1"/>
      <c r="P516" s="7"/>
      <c r="Q516" s="8"/>
    </row>
    <row r="517" spans="2:17" ht="15.75">
      <c r="B517" s="57" t="s">
        <v>930</v>
      </c>
      <c r="C517" s="199" t="s">
        <v>931</v>
      </c>
      <c r="D517" s="199"/>
      <c r="E517" s="200"/>
      <c r="F517" s="201"/>
      <c r="G517" s="201"/>
      <c r="H517" s="200"/>
      <c r="I517" s="200"/>
      <c r="J517" s="202">
        <v>8</v>
      </c>
      <c r="K517" s="202">
        <v>4</v>
      </c>
      <c r="L517" s="203">
        <v>6</v>
      </c>
      <c r="M517" s="212" t="s">
        <v>857</v>
      </c>
      <c r="O517" s="1"/>
      <c r="P517" s="7"/>
      <c r="Q517" s="8"/>
    </row>
    <row r="518" spans="2:17" ht="15.75">
      <c r="B518" s="57" t="s">
        <v>932</v>
      </c>
      <c r="C518" s="199" t="s">
        <v>933</v>
      </c>
      <c r="D518" s="199"/>
      <c r="E518" s="200"/>
      <c r="F518" s="201"/>
      <c r="G518" s="201"/>
      <c r="H518" s="200"/>
      <c r="I518" s="200"/>
      <c r="J518" s="202">
        <v>11</v>
      </c>
      <c r="K518" s="202">
        <v>6</v>
      </c>
      <c r="L518" s="203">
        <v>5</v>
      </c>
      <c r="M518" s="212" t="s">
        <v>857</v>
      </c>
      <c r="O518" s="1"/>
      <c r="P518" s="7"/>
      <c r="Q518" s="8"/>
    </row>
    <row r="519" spans="2:17" ht="15.75">
      <c r="B519" s="57" t="s">
        <v>934</v>
      </c>
      <c r="C519" s="199" t="s">
        <v>935</v>
      </c>
      <c r="D519" s="199"/>
      <c r="E519" s="200"/>
      <c r="F519" s="201"/>
      <c r="G519" s="201"/>
      <c r="H519" s="200"/>
      <c r="I519" s="200"/>
      <c r="J519" s="202">
        <v>8</v>
      </c>
      <c r="K519" s="202">
        <v>4</v>
      </c>
      <c r="L519" s="203">
        <v>7</v>
      </c>
      <c r="M519" s="212" t="s">
        <v>857</v>
      </c>
      <c r="O519" s="1"/>
      <c r="P519" s="7"/>
      <c r="Q519" s="8"/>
    </row>
    <row r="520" spans="2:17" ht="15.75">
      <c r="B520" s="57" t="s">
        <v>936</v>
      </c>
      <c r="C520" s="199" t="s">
        <v>937</v>
      </c>
      <c r="D520" s="199"/>
      <c r="E520" s="200"/>
      <c r="F520" s="201"/>
      <c r="G520" s="201"/>
      <c r="H520" s="200"/>
      <c r="I520" s="200"/>
      <c r="J520" s="202"/>
      <c r="K520" s="202"/>
      <c r="L520" s="203"/>
      <c r="M520" s="212" t="s">
        <v>857</v>
      </c>
      <c r="O520" s="1"/>
      <c r="P520" s="7"/>
      <c r="Q520" s="8"/>
    </row>
    <row r="521" spans="2:17" ht="15.75">
      <c r="B521" s="57" t="s">
        <v>938</v>
      </c>
      <c r="C521" s="199" t="s">
        <v>939</v>
      </c>
      <c r="D521" s="199"/>
      <c r="E521" s="200"/>
      <c r="F521" s="201"/>
      <c r="G521" s="201"/>
      <c r="H521" s="200"/>
      <c r="I521" s="200"/>
      <c r="J521" s="202"/>
      <c r="K521" s="202">
        <v>5</v>
      </c>
      <c r="L521" s="203">
        <v>5</v>
      </c>
      <c r="M521" s="212" t="s">
        <v>857</v>
      </c>
      <c r="O521" s="1"/>
      <c r="P521" s="7"/>
      <c r="Q521" s="8"/>
    </row>
    <row r="522" spans="2:17" ht="15.75">
      <c r="B522" s="57" t="s">
        <v>940</v>
      </c>
      <c r="C522" s="199" t="s">
        <v>941</v>
      </c>
      <c r="D522" s="199"/>
      <c r="E522" s="200"/>
      <c r="F522" s="201"/>
      <c r="G522" s="201"/>
      <c r="H522" s="200"/>
      <c r="I522" s="200"/>
      <c r="J522" s="202"/>
      <c r="K522" s="202">
        <v>5</v>
      </c>
      <c r="L522" s="203">
        <v>7</v>
      </c>
      <c r="M522" s="212" t="s">
        <v>857</v>
      </c>
      <c r="O522" s="1"/>
      <c r="P522" s="7"/>
      <c r="Q522" s="8"/>
    </row>
    <row r="523" spans="2:17" ht="15.75">
      <c r="B523" s="57" t="s">
        <v>942</v>
      </c>
      <c r="C523" s="199" t="s">
        <v>943</v>
      </c>
      <c r="D523" s="199"/>
      <c r="E523" s="200"/>
      <c r="F523" s="201"/>
      <c r="G523" s="201"/>
      <c r="H523" s="200"/>
      <c r="I523" s="200"/>
      <c r="J523" s="202"/>
      <c r="K523" s="202">
        <v>6</v>
      </c>
      <c r="L523" s="203">
        <v>5</v>
      </c>
      <c r="M523" s="212" t="s">
        <v>857</v>
      </c>
      <c r="O523" s="1"/>
      <c r="P523" s="7"/>
      <c r="Q523" s="8"/>
    </row>
    <row r="524" spans="2:17" ht="15.75">
      <c r="B524" s="57" t="s">
        <v>944</v>
      </c>
      <c r="C524" s="199" t="s">
        <v>945</v>
      </c>
      <c r="D524" s="199"/>
      <c r="E524" s="200"/>
      <c r="F524" s="201"/>
      <c r="G524" s="201"/>
      <c r="H524" s="200"/>
      <c r="I524" s="200"/>
      <c r="J524" s="202"/>
      <c r="K524" s="202">
        <v>7</v>
      </c>
      <c r="L524" s="203">
        <v>3</v>
      </c>
      <c r="M524" s="212" t="s">
        <v>857</v>
      </c>
      <c r="O524" s="1"/>
      <c r="P524" s="7"/>
      <c r="Q524" s="8"/>
    </row>
    <row r="525" spans="2:17" ht="15.75">
      <c r="B525" s="57" t="s">
        <v>946</v>
      </c>
      <c r="C525" s="199" t="s">
        <v>947</v>
      </c>
      <c r="D525" s="199"/>
      <c r="E525" s="200"/>
      <c r="F525" s="201"/>
      <c r="G525" s="201"/>
      <c r="H525" s="200"/>
      <c r="I525" s="200"/>
      <c r="J525" s="202"/>
      <c r="K525" s="202">
        <v>9</v>
      </c>
      <c r="L525" s="203">
        <v>4</v>
      </c>
      <c r="M525" s="212" t="s">
        <v>857</v>
      </c>
      <c r="O525" s="1"/>
      <c r="P525" s="7"/>
      <c r="Q525" s="8"/>
    </row>
    <row r="526" spans="2:17" ht="15.75">
      <c r="B526" s="57" t="s">
        <v>948</v>
      </c>
      <c r="C526" s="199" t="s">
        <v>949</v>
      </c>
      <c r="D526" s="199"/>
      <c r="E526" s="200"/>
      <c r="F526" s="201"/>
      <c r="G526" s="201"/>
      <c r="H526" s="200"/>
      <c r="I526" s="200"/>
      <c r="J526" s="202"/>
      <c r="K526" s="202">
        <v>10</v>
      </c>
      <c r="L526" s="203">
        <v>4</v>
      </c>
      <c r="M526" s="212" t="s">
        <v>857</v>
      </c>
      <c r="O526" s="1"/>
      <c r="P526" s="7"/>
      <c r="Q526" s="8"/>
    </row>
    <row r="527" spans="2:17" ht="15.75">
      <c r="B527" s="57" t="s">
        <v>950</v>
      </c>
      <c r="C527" s="199" t="s">
        <v>951</v>
      </c>
      <c r="D527" s="199"/>
      <c r="E527" s="200"/>
      <c r="F527" s="201"/>
      <c r="G527" s="201"/>
      <c r="H527" s="200"/>
      <c r="I527" s="200"/>
      <c r="J527" s="202"/>
      <c r="K527" s="202">
        <v>9</v>
      </c>
      <c r="L527" s="203">
        <v>6</v>
      </c>
      <c r="M527" s="212" t="s">
        <v>857</v>
      </c>
      <c r="O527" s="1"/>
      <c r="P527" s="7"/>
      <c r="Q527" s="8"/>
    </row>
    <row r="528" spans="2:17" ht="15.75">
      <c r="B528" s="57" t="s">
        <v>952</v>
      </c>
      <c r="C528" s="199" t="s">
        <v>953</v>
      </c>
      <c r="D528" s="199"/>
      <c r="E528" s="200"/>
      <c r="F528" s="201"/>
      <c r="G528" s="201"/>
      <c r="H528" s="200"/>
      <c r="I528" s="200"/>
      <c r="J528" s="202"/>
      <c r="K528" s="202"/>
      <c r="L528" s="203"/>
      <c r="M528" s="212" t="s">
        <v>857</v>
      </c>
      <c r="P528" s="7"/>
      <c r="Q528" s="8"/>
    </row>
    <row r="529" spans="2:17" ht="15.75">
      <c r="B529" s="57" t="s">
        <v>954</v>
      </c>
      <c r="C529" s="199" t="s">
        <v>955</v>
      </c>
      <c r="D529" s="199"/>
      <c r="E529" s="200"/>
      <c r="F529" s="201"/>
      <c r="G529" s="201"/>
      <c r="H529" s="200"/>
      <c r="I529" s="200"/>
      <c r="J529" s="202"/>
      <c r="K529" s="202"/>
      <c r="L529" s="203"/>
      <c r="M529" s="212" t="s">
        <v>857</v>
      </c>
      <c r="P529" s="7"/>
      <c r="Q529" s="8"/>
    </row>
    <row r="530" spans="2:17" ht="15.75">
      <c r="B530" s="57" t="s">
        <v>956</v>
      </c>
      <c r="C530" s="199" t="s">
        <v>957</v>
      </c>
      <c r="D530" s="199"/>
      <c r="E530" s="200"/>
      <c r="F530" s="201"/>
      <c r="G530" s="201"/>
      <c r="H530" s="200"/>
      <c r="I530" s="200"/>
      <c r="J530" s="202"/>
      <c r="K530" s="202"/>
      <c r="L530" s="203"/>
      <c r="M530" s="212" t="s">
        <v>857</v>
      </c>
      <c r="P530" s="7"/>
      <c r="Q530" s="8"/>
    </row>
    <row r="531" spans="2:17" ht="15.75">
      <c r="B531" s="57" t="s">
        <v>958</v>
      </c>
      <c r="C531" s="199" t="s">
        <v>959</v>
      </c>
      <c r="D531" s="199"/>
      <c r="E531" s="200"/>
      <c r="F531" s="201"/>
      <c r="G531" s="201"/>
      <c r="H531" s="200"/>
      <c r="I531" s="200"/>
      <c r="J531" s="202"/>
      <c r="K531" s="202"/>
      <c r="L531" s="203"/>
      <c r="M531" s="212" t="s">
        <v>857</v>
      </c>
      <c r="P531" s="7"/>
      <c r="Q531" s="8"/>
    </row>
    <row r="532" spans="2:17" ht="16.5" thickBot="1">
      <c r="B532" s="58" t="s">
        <v>960</v>
      </c>
      <c r="C532" s="205" t="s">
        <v>961</v>
      </c>
      <c r="D532" s="205"/>
      <c r="E532" s="206"/>
      <c r="F532" s="207"/>
      <c r="G532" s="207"/>
      <c r="H532" s="206"/>
      <c r="I532" s="206"/>
      <c r="J532" s="208"/>
      <c r="K532" s="208">
        <v>10</v>
      </c>
      <c r="L532" s="209">
        <v>8</v>
      </c>
      <c r="M532" s="213" t="s">
        <v>857</v>
      </c>
      <c r="P532" s="7"/>
      <c r="Q532" s="8"/>
    </row>
    <row r="533" spans="2:17">
      <c r="B533" s="10"/>
      <c r="C533" s="10"/>
      <c r="D533" s="13"/>
      <c r="E533" s="1"/>
      <c r="F533" s="3"/>
      <c r="G533" s="3"/>
      <c r="H533" s="1"/>
      <c r="I533" s="1"/>
      <c r="J533" s="1"/>
      <c r="K533" s="1"/>
      <c r="L533" s="1"/>
      <c r="P533" s="7"/>
      <c r="Q533" s="8"/>
    </row>
    <row r="534" spans="2:17" ht="13.5" thickBot="1">
      <c r="B534" s="13"/>
      <c r="C534" s="13"/>
      <c r="D534" s="13"/>
      <c r="E534" s="1"/>
      <c r="F534" s="3"/>
      <c r="G534" s="3"/>
      <c r="H534" s="1"/>
      <c r="I534" s="1"/>
      <c r="J534" s="1"/>
      <c r="K534" s="1"/>
      <c r="L534" s="1"/>
      <c r="P534" s="7"/>
      <c r="Q534" s="8"/>
    </row>
    <row r="535" spans="2:17">
      <c r="B535" s="340" t="s">
        <v>962</v>
      </c>
      <c r="C535" s="341"/>
      <c r="D535" s="341"/>
      <c r="E535" s="341"/>
      <c r="F535" s="341"/>
      <c r="G535" s="341"/>
      <c r="H535" s="341"/>
      <c r="I535" s="341"/>
      <c r="J535" s="341"/>
      <c r="K535" s="341"/>
      <c r="L535" s="341"/>
      <c r="M535" s="342"/>
      <c r="P535" s="7"/>
      <c r="Q535" s="8"/>
    </row>
    <row r="536" spans="2:17">
      <c r="B536" s="343"/>
      <c r="C536" s="344"/>
      <c r="D536" s="344"/>
      <c r="E536" s="344"/>
      <c r="F536" s="344"/>
      <c r="G536" s="344"/>
      <c r="H536" s="344"/>
      <c r="I536" s="344"/>
      <c r="J536" s="344"/>
      <c r="K536" s="344"/>
      <c r="L536" s="344"/>
      <c r="M536" s="345"/>
      <c r="P536" s="7"/>
      <c r="Q536" s="8"/>
    </row>
    <row r="537" spans="2:17" ht="30">
      <c r="B537" s="68" t="s">
        <v>6</v>
      </c>
      <c r="C537" s="69" t="s">
        <v>7</v>
      </c>
      <c r="D537" s="69"/>
      <c r="E537" s="91"/>
      <c r="F537" s="71"/>
      <c r="G537" s="71"/>
      <c r="H537" s="91"/>
      <c r="I537" s="91"/>
      <c r="J537" s="71" t="s">
        <v>8</v>
      </c>
      <c r="K537" s="71" t="s">
        <v>9</v>
      </c>
      <c r="L537" s="71" t="s">
        <v>337</v>
      </c>
      <c r="M537" s="92" t="s">
        <v>854</v>
      </c>
      <c r="P537" s="7"/>
      <c r="Q537" s="8"/>
    </row>
    <row r="538" spans="2:17" ht="15.75">
      <c r="B538" s="63" t="s">
        <v>963</v>
      </c>
      <c r="C538" s="97" t="s">
        <v>964</v>
      </c>
      <c r="D538" s="97"/>
      <c r="E538" s="98"/>
      <c r="F538" s="99"/>
      <c r="G538" s="99"/>
      <c r="H538" s="98"/>
      <c r="I538" s="98"/>
      <c r="J538" s="100">
        <v>11</v>
      </c>
      <c r="K538" s="100">
        <v>6</v>
      </c>
      <c r="L538" s="101">
        <v>16</v>
      </c>
      <c r="M538" s="102">
        <v>11985.92</v>
      </c>
      <c r="P538" s="7"/>
      <c r="Q538" s="8"/>
    </row>
    <row r="539" spans="2:17" ht="15.75">
      <c r="B539" s="63" t="s">
        <v>965</v>
      </c>
      <c r="C539" s="103" t="s">
        <v>915</v>
      </c>
      <c r="D539" s="97"/>
      <c r="E539" s="98"/>
      <c r="F539" s="99"/>
      <c r="G539" s="99"/>
      <c r="H539" s="98"/>
      <c r="I539" s="98"/>
      <c r="J539" s="104">
        <v>8.4</v>
      </c>
      <c r="K539" s="104">
        <v>3.6</v>
      </c>
      <c r="L539" s="105">
        <v>9.52</v>
      </c>
      <c r="M539" s="102">
        <v>5437.84</v>
      </c>
      <c r="P539" s="7"/>
      <c r="Q539" s="8"/>
    </row>
    <row r="540" spans="2:17" ht="15.75">
      <c r="B540" s="63" t="s">
        <v>966</v>
      </c>
      <c r="C540" s="106" t="s">
        <v>967</v>
      </c>
      <c r="D540" s="97"/>
      <c r="E540" s="98"/>
      <c r="F540" s="99"/>
      <c r="G540" s="99"/>
      <c r="H540" s="98"/>
      <c r="I540" s="98"/>
      <c r="J540" s="104">
        <v>6.7</v>
      </c>
      <c r="K540" s="104">
        <v>3.6</v>
      </c>
      <c r="L540" s="105">
        <v>7.93</v>
      </c>
      <c r="M540" s="102">
        <v>3939.2</v>
      </c>
      <c r="P540" s="7"/>
      <c r="Q540" s="8"/>
    </row>
    <row r="541" spans="2:17" ht="15.75">
      <c r="B541" s="63" t="s">
        <v>968</v>
      </c>
      <c r="C541" s="106" t="s">
        <v>901</v>
      </c>
      <c r="D541" s="97"/>
      <c r="E541" s="98"/>
      <c r="F541" s="99"/>
      <c r="G541" s="99"/>
      <c r="H541" s="98"/>
      <c r="I541" s="98"/>
      <c r="J541" s="104">
        <v>7.6</v>
      </c>
      <c r="K541" s="104">
        <v>3.6</v>
      </c>
      <c r="L541" s="105">
        <v>7.93</v>
      </c>
      <c r="M541" s="102">
        <v>3939.2</v>
      </c>
      <c r="P541" s="7"/>
      <c r="Q541" s="8"/>
    </row>
    <row r="542" spans="2:17" ht="15.75">
      <c r="B542" s="63" t="s">
        <v>969</v>
      </c>
      <c r="C542" s="106" t="s">
        <v>970</v>
      </c>
      <c r="D542" s="97"/>
      <c r="E542" s="98"/>
      <c r="F542" s="99"/>
      <c r="G542" s="99"/>
      <c r="H542" s="98"/>
      <c r="I542" s="98"/>
      <c r="J542" s="104">
        <v>8.4</v>
      </c>
      <c r="K542" s="104">
        <v>3.6</v>
      </c>
      <c r="L542" s="105">
        <v>11.11</v>
      </c>
      <c r="M542" s="102">
        <v>6090.38</v>
      </c>
      <c r="P542" s="7"/>
      <c r="Q542" s="8"/>
    </row>
    <row r="543" spans="2:17" ht="15.75">
      <c r="B543" s="63" t="s">
        <v>971</v>
      </c>
      <c r="C543" s="106" t="s">
        <v>972</v>
      </c>
      <c r="D543" s="97"/>
      <c r="E543" s="98"/>
      <c r="F543" s="99"/>
      <c r="G543" s="99"/>
      <c r="H543" s="98"/>
      <c r="I543" s="98"/>
      <c r="J543" s="104">
        <v>8.4</v>
      </c>
      <c r="K543" s="104">
        <v>4.7</v>
      </c>
      <c r="L543" s="105">
        <v>12.7</v>
      </c>
      <c r="M543" s="102">
        <v>10211.42</v>
      </c>
      <c r="P543" s="7"/>
      <c r="Q543" s="8"/>
    </row>
    <row r="544" spans="2:17" ht="15.75">
      <c r="B544" s="63" t="s">
        <v>973</v>
      </c>
      <c r="C544" s="106" t="s">
        <v>974</v>
      </c>
      <c r="D544" s="97"/>
      <c r="E544" s="98"/>
      <c r="F544" s="99"/>
      <c r="G544" s="99"/>
      <c r="H544" s="98"/>
      <c r="I544" s="98"/>
      <c r="J544" s="104">
        <v>8.4</v>
      </c>
      <c r="K544" s="104">
        <v>4.7</v>
      </c>
      <c r="L544" s="105">
        <v>9.52</v>
      </c>
      <c r="M544" s="102">
        <v>7677.76</v>
      </c>
      <c r="P544" s="7"/>
      <c r="Q544" s="8"/>
    </row>
    <row r="545" spans="2:17" ht="15.75">
      <c r="B545" s="63" t="s">
        <v>975</v>
      </c>
      <c r="C545" s="106" t="s">
        <v>976</v>
      </c>
      <c r="D545" s="97"/>
      <c r="E545" s="98"/>
      <c r="F545" s="99"/>
      <c r="G545" s="99"/>
      <c r="H545" s="98"/>
      <c r="I545" s="98"/>
      <c r="J545" s="104">
        <v>8.4</v>
      </c>
      <c r="K545" s="104">
        <v>3.8</v>
      </c>
      <c r="L545" s="105">
        <v>7.93</v>
      </c>
      <c r="M545" s="102">
        <v>5464</v>
      </c>
      <c r="P545" s="7"/>
      <c r="Q545" s="8"/>
    </row>
    <row r="546" spans="2:17" ht="15.75">
      <c r="B546" s="63" t="s">
        <v>977</v>
      </c>
      <c r="C546" s="106" t="s">
        <v>978</v>
      </c>
      <c r="D546" s="97"/>
      <c r="E546" s="98"/>
      <c r="F546" s="99"/>
      <c r="G546" s="99"/>
      <c r="H546" s="98"/>
      <c r="I546" s="98"/>
      <c r="J546" s="104">
        <v>11</v>
      </c>
      <c r="K546" s="104">
        <v>6</v>
      </c>
      <c r="L546" s="105">
        <v>19</v>
      </c>
      <c r="M546" s="102">
        <v>13474.24</v>
      </c>
      <c r="P546" s="7"/>
      <c r="Q546" s="8"/>
    </row>
    <row r="547" spans="2:17" ht="15.75">
      <c r="B547" s="63" t="s">
        <v>979</v>
      </c>
      <c r="C547" s="106" t="s">
        <v>980</v>
      </c>
      <c r="D547" s="97"/>
      <c r="E547" s="98"/>
      <c r="F547" s="99"/>
      <c r="G547" s="99"/>
      <c r="H547" s="98"/>
      <c r="I547" s="98"/>
      <c r="J547" s="104">
        <v>13</v>
      </c>
      <c r="K547" s="104">
        <v>8</v>
      </c>
      <c r="L547" s="105">
        <v>22</v>
      </c>
      <c r="M547" s="102">
        <v>26264.44</v>
      </c>
      <c r="P547" s="7"/>
      <c r="Q547" s="8"/>
    </row>
    <row r="548" spans="2:17" ht="15.75">
      <c r="B548" s="63" t="s">
        <v>981</v>
      </c>
      <c r="C548" s="106" t="s">
        <v>982</v>
      </c>
      <c r="D548" s="97"/>
      <c r="E548" s="98"/>
      <c r="F548" s="99"/>
      <c r="G548" s="99"/>
      <c r="H548" s="98"/>
      <c r="I548" s="98"/>
      <c r="J548" s="104">
        <v>8.4</v>
      </c>
      <c r="K548" s="104">
        <v>3.6</v>
      </c>
      <c r="L548" s="105">
        <v>7.93</v>
      </c>
      <c r="M548" s="102">
        <v>3950.26</v>
      </c>
      <c r="P548" s="7"/>
      <c r="Q548" s="8"/>
    </row>
    <row r="549" spans="2:17" ht="15.75">
      <c r="B549" s="63" t="s">
        <v>983</v>
      </c>
      <c r="C549" s="106" t="s">
        <v>984</v>
      </c>
      <c r="D549" s="97"/>
      <c r="E549" s="98"/>
      <c r="F549" s="99"/>
      <c r="G549" s="99"/>
      <c r="H549" s="98"/>
      <c r="I549" s="98"/>
      <c r="J549" s="104">
        <v>8.4</v>
      </c>
      <c r="K549" s="104">
        <v>4.5999999999999996</v>
      </c>
      <c r="L549" s="105">
        <v>6.35</v>
      </c>
      <c r="M549" s="102">
        <v>4178.3999999999996</v>
      </c>
      <c r="P549" s="7"/>
      <c r="Q549" s="8"/>
    </row>
    <row r="550" spans="2:17" ht="15.75">
      <c r="B550" s="63" t="s">
        <v>985</v>
      </c>
      <c r="C550" s="106" t="s">
        <v>986</v>
      </c>
      <c r="D550" s="97"/>
      <c r="E550" s="98"/>
      <c r="F550" s="99"/>
      <c r="G550" s="99"/>
      <c r="H550" s="98"/>
      <c r="I550" s="98"/>
      <c r="J550" s="104">
        <v>13</v>
      </c>
      <c r="K550" s="104">
        <v>8</v>
      </c>
      <c r="L550" s="105">
        <v>25</v>
      </c>
      <c r="M550" s="102">
        <v>24634.14</v>
      </c>
      <c r="P550" s="7"/>
      <c r="Q550" s="8"/>
    </row>
    <row r="551" spans="2:17" ht="15.75">
      <c r="B551" s="63" t="s">
        <v>987</v>
      </c>
      <c r="C551" s="106" t="s">
        <v>988</v>
      </c>
      <c r="D551" s="97"/>
      <c r="E551" s="98"/>
      <c r="F551" s="99"/>
      <c r="G551" s="99"/>
      <c r="H551" s="98"/>
      <c r="I551" s="98"/>
      <c r="J551" s="104">
        <v>15</v>
      </c>
      <c r="K551" s="104">
        <v>8</v>
      </c>
      <c r="L551" s="105">
        <v>27</v>
      </c>
      <c r="M551" s="102" t="s">
        <v>857</v>
      </c>
      <c r="P551" s="7"/>
      <c r="Q551" s="8"/>
    </row>
    <row r="552" spans="2:17" ht="15.75">
      <c r="B552" s="63" t="s">
        <v>989</v>
      </c>
      <c r="C552" s="106" t="s">
        <v>990</v>
      </c>
      <c r="D552" s="97"/>
      <c r="E552" s="98"/>
      <c r="F552" s="99"/>
      <c r="G552" s="99"/>
      <c r="H552" s="98"/>
      <c r="I552" s="98"/>
      <c r="J552" s="104">
        <v>7.8</v>
      </c>
      <c r="K552" s="104">
        <v>3.6</v>
      </c>
      <c r="L552" s="105">
        <v>11.11</v>
      </c>
      <c r="M552" s="102">
        <v>5437.76</v>
      </c>
      <c r="P552" s="7"/>
      <c r="Q552" s="8"/>
    </row>
    <row r="553" spans="2:17" ht="15.75">
      <c r="B553" s="63" t="s">
        <v>991</v>
      </c>
      <c r="C553" s="106" t="s">
        <v>992</v>
      </c>
      <c r="D553" s="97"/>
      <c r="E553" s="98"/>
      <c r="F553" s="99"/>
      <c r="G553" s="99"/>
      <c r="H553" s="98"/>
      <c r="I553" s="98"/>
      <c r="J553" s="104">
        <v>6.7</v>
      </c>
      <c r="K553" s="104">
        <v>3.6</v>
      </c>
      <c r="L553" s="105">
        <v>9.52</v>
      </c>
      <c r="M553" s="102">
        <v>4333.12</v>
      </c>
      <c r="P553" s="7"/>
      <c r="Q553" s="8"/>
    </row>
    <row r="554" spans="2:17" ht="15.75">
      <c r="B554" s="63" t="s">
        <v>993</v>
      </c>
      <c r="C554" s="106" t="s">
        <v>994</v>
      </c>
      <c r="D554" s="97"/>
      <c r="E554" s="98"/>
      <c r="F554" s="99"/>
      <c r="G554" s="99"/>
      <c r="H554" s="98"/>
      <c r="I554" s="98"/>
      <c r="J554" s="104">
        <v>13</v>
      </c>
      <c r="K554" s="104">
        <v>8</v>
      </c>
      <c r="L554" s="105">
        <v>19</v>
      </c>
      <c r="M554" s="102">
        <v>23299.1</v>
      </c>
      <c r="P554" s="7"/>
      <c r="Q554" s="8"/>
    </row>
    <row r="555" spans="2:17" ht="15.75">
      <c r="B555" s="63" t="s">
        <v>995</v>
      </c>
      <c r="C555" s="106" t="s">
        <v>996</v>
      </c>
      <c r="D555" s="97"/>
      <c r="E555" s="98"/>
      <c r="F555" s="99"/>
      <c r="G555" s="99"/>
      <c r="H555" s="98"/>
      <c r="I555" s="98"/>
      <c r="J555" s="104">
        <v>8.4</v>
      </c>
      <c r="K555" s="104">
        <v>4.7</v>
      </c>
      <c r="L555" s="105">
        <v>11.11</v>
      </c>
      <c r="M555" s="102">
        <v>8356.7999999999993</v>
      </c>
      <c r="P555" s="7"/>
      <c r="Q555" s="8"/>
    </row>
    <row r="556" spans="2:17" ht="15.75">
      <c r="B556" s="63" t="s">
        <v>997</v>
      </c>
      <c r="C556" s="106" t="s">
        <v>998</v>
      </c>
      <c r="D556" s="97"/>
      <c r="E556" s="98"/>
      <c r="F556" s="99"/>
      <c r="G556" s="99"/>
      <c r="H556" s="98"/>
      <c r="I556" s="98"/>
      <c r="J556" s="104">
        <v>8.4</v>
      </c>
      <c r="K556" s="104">
        <v>3.8</v>
      </c>
      <c r="L556" s="105">
        <v>12.7</v>
      </c>
      <c r="M556" s="102">
        <v>7441.8</v>
      </c>
      <c r="P556" s="7"/>
      <c r="Q556" s="8"/>
    </row>
    <row r="557" spans="2:17" ht="15.75">
      <c r="B557" s="63" t="s">
        <v>999</v>
      </c>
      <c r="C557" s="106" t="s">
        <v>913</v>
      </c>
      <c r="D557" s="97"/>
      <c r="E557" s="98"/>
      <c r="F557" s="99"/>
      <c r="G557" s="99"/>
      <c r="H557" s="98"/>
      <c r="I557" s="98"/>
      <c r="J557" s="104">
        <v>8.4</v>
      </c>
      <c r="K557" s="104">
        <v>3.8</v>
      </c>
      <c r="L557" s="105">
        <v>9.52</v>
      </c>
      <c r="M557" s="102">
        <v>5712</v>
      </c>
      <c r="P557" s="7"/>
      <c r="Q557" s="8"/>
    </row>
    <row r="558" spans="2:17" ht="15.75">
      <c r="B558" s="63" t="s">
        <v>1000</v>
      </c>
      <c r="C558" s="106" t="s">
        <v>1001</v>
      </c>
      <c r="D558" s="97"/>
      <c r="E558" s="98"/>
      <c r="F558" s="99"/>
      <c r="G558" s="99"/>
      <c r="H558" s="98"/>
      <c r="I558" s="98"/>
      <c r="J558" s="104">
        <v>15</v>
      </c>
      <c r="K558" s="104">
        <v>8</v>
      </c>
      <c r="L558" s="105">
        <v>19</v>
      </c>
      <c r="M558" s="102">
        <v>25396.02</v>
      </c>
      <c r="P558" s="7"/>
      <c r="Q558" s="8"/>
    </row>
    <row r="559" spans="2:17" ht="15.75">
      <c r="B559" s="63" t="s">
        <v>1002</v>
      </c>
      <c r="C559" s="106" t="s">
        <v>1003</v>
      </c>
      <c r="D559" s="97"/>
      <c r="E559" s="98"/>
      <c r="F559" s="99"/>
      <c r="G559" s="99"/>
      <c r="H559" s="98"/>
      <c r="I559" s="98"/>
      <c r="J559" s="104">
        <v>13</v>
      </c>
      <c r="K559" s="104">
        <v>6</v>
      </c>
      <c r="L559" s="105">
        <v>25</v>
      </c>
      <c r="M559" s="102">
        <v>19166</v>
      </c>
      <c r="P559" s="7"/>
      <c r="Q559" s="8"/>
    </row>
    <row r="560" spans="2:17" ht="15.75">
      <c r="B560" s="63" t="s">
        <v>1004</v>
      </c>
      <c r="C560" s="106" t="s">
        <v>887</v>
      </c>
      <c r="D560" s="97"/>
      <c r="E560" s="98"/>
      <c r="F560" s="99"/>
      <c r="G560" s="99"/>
      <c r="H560" s="98"/>
      <c r="I560" s="98"/>
      <c r="J560" s="104">
        <v>8.4</v>
      </c>
      <c r="K560" s="104">
        <v>4.7</v>
      </c>
      <c r="L560" s="105">
        <v>15.87</v>
      </c>
      <c r="M560" s="102" t="s">
        <v>857</v>
      </c>
      <c r="P560" s="7"/>
      <c r="Q560" s="8"/>
    </row>
    <row r="561" spans="2:17" ht="15.75">
      <c r="B561" s="63" t="s">
        <v>1005</v>
      </c>
      <c r="C561" s="106" t="s">
        <v>1006</v>
      </c>
      <c r="D561" s="97"/>
      <c r="E561" s="98"/>
      <c r="F561" s="99"/>
      <c r="G561" s="99"/>
      <c r="H561" s="98"/>
      <c r="I561" s="98"/>
      <c r="J561" s="104">
        <v>7.6</v>
      </c>
      <c r="K561" s="104">
        <v>3.6</v>
      </c>
      <c r="L561" s="105">
        <v>9.52</v>
      </c>
      <c r="M561" s="102">
        <v>4333.12</v>
      </c>
      <c r="P561" s="7"/>
      <c r="Q561" s="8"/>
    </row>
    <row r="562" spans="2:17" ht="15.75">
      <c r="B562" s="63" t="s">
        <v>1007</v>
      </c>
      <c r="C562" s="106" t="s">
        <v>1008</v>
      </c>
      <c r="D562" s="97"/>
      <c r="E562" s="98"/>
      <c r="F562" s="99"/>
      <c r="G562" s="99"/>
      <c r="H562" s="98"/>
      <c r="I562" s="98"/>
      <c r="J562" s="104">
        <v>11</v>
      </c>
      <c r="K562" s="104">
        <v>6</v>
      </c>
      <c r="L562" s="105">
        <v>22</v>
      </c>
      <c r="M562" s="102">
        <v>14973.44</v>
      </c>
      <c r="P562" s="7"/>
      <c r="Q562" s="8"/>
    </row>
    <row r="563" spans="2:17" ht="15.75">
      <c r="B563" s="63" t="s">
        <v>1009</v>
      </c>
      <c r="C563" s="106" t="s">
        <v>1010</v>
      </c>
      <c r="D563" s="97"/>
      <c r="E563" s="98"/>
      <c r="F563" s="99"/>
      <c r="G563" s="99"/>
      <c r="H563" s="98"/>
      <c r="I563" s="98"/>
      <c r="J563" s="104">
        <v>8.4</v>
      </c>
      <c r="K563" s="104">
        <v>3.8</v>
      </c>
      <c r="L563" s="105">
        <v>11.11</v>
      </c>
      <c r="M563" s="102">
        <v>6704.32</v>
      </c>
      <c r="P563" s="7"/>
      <c r="Q563" s="8"/>
    </row>
    <row r="564" spans="2:17" ht="15.75">
      <c r="B564" s="63" t="s">
        <v>1011</v>
      </c>
      <c r="C564" s="106" t="s">
        <v>1012</v>
      </c>
      <c r="D564" s="97"/>
      <c r="E564" s="98"/>
      <c r="F564" s="99"/>
      <c r="G564" s="99"/>
      <c r="H564" s="98"/>
      <c r="I564" s="98"/>
      <c r="J564" s="104">
        <v>8.4</v>
      </c>
      <c r="K564" s="104">
        <v>4.7</v>
      </c>
      <c r="L564" s="105">
        <v>14.52</v>
      </c>
      <c r="M564" s="102">
        <v>12049.48</v>
      </c>
      <c r="P564" s="7"/>
      <c r="Q564" s="8"/>
    </row>
    <row r="565" spans="2:17" ht="15.75">
      <c r="B565" s="63" t="s">
        <v>1013</v>
      </c>
      <c r="C565" s="106" t="s">
        <v>1014</v>
      </c>
      <c r="D565" s="97"/>
      <c r="E565" s="98"/>
      <c r="F565" s="99"/>
      <c r="G565" s="99"/>
      <c r="H565" s="98"/>
      <c r="I565" s="98"/>
      <c r="J565" s="104">
        <v>15</v>
      </c>
      <c r="K565" s="104">
        <v>8</v>
      </c>
      <c r="L565" s="105">
        <v>25</v>
      </c>
      <c r="M565" s="102">
        <v>31859.52</v>
      </c>
      <c r="P565" s="7"/>
      <c r="Q565" s="8"/>
    </row>
    <row r="566" spans="2:17" ht="15.75">
      <c r="B566" s="63" t="s">
        <v>1015</v>
      </c>
      <c r="C566" s="106" t="s">
        <v>1016</v>
      </c>
      <c r="D566" s="97"/>
      <c r="E566" s="98"/>
      <c r="F566" s="99"/>
      <c r="G566" s="99"/>
      <c r="H566" s="98"/>
      <c r="I566" s="98"/>
      <c r="J566" s="104">
        <v>8.4</v>
      </c>
      <c r="K566" s="104">
        <v>3.6</v>
      </c>
      <c r="L566" s="105">
        <v>4.75</v>
      </c>
      <c r="M566" s="102" t="s">
        <v>857</v>
      </c>
      <c r="P566" s="7"/>
      <c r="Q566" s="8"/>
    </row>
    <row r="567" spans="2:17" ht="15.75">
      <c r="B567" s="63" t="s">
        <v>1017</v>
      </c>
      <c r="C567" s="106" t="s">
        <v>891</v>
      </c>
      <c r="D567" s="97"/>
      <c r="E567" s="98"/>
      <c r="F567" s="99"/>
      <c r="G567" s="99"/>
      <c r="H567" s="98"/>
      <c r="I567" s="98"/>
      <c r="J567" s="104">
        <v>8.4</v>
      </c>
      <c r="K567" s="104">
        <v>3.6</v>
      </c>
      <c r="L567" s="105">
        <v>6.35</v>
      </c>
      <c r="M567" s="102" t="s">
        <v>857</v>
      </c>
      <c r="P567" s="7"/>
      <c r="Q567" s="8"/>
    </row>
    <row r="568" spans="2:17" ht="15.75">
      <c r="B568" s="63" t="s">
        <v>1018</v>
      </c>
      <c r="C568" s="106" t="s">
        <v>1019</v>
      </c>
      <c r="D568" s="97"/>
      <c r="E568" s="98"/>
      <c r="F568" s="99"/>
      <c r="G568" s="99"/>
      <c r="H568" s="98"/>
      <c r="I568" s="98"/>
      <c r="J568" s="104">
        <v>13</v>
      </c>
      <c r="K568" s="104">
        <v>8</v>
      </c>
      <c r="L568" s="105">
        <v>32</v>
      </c>
      <c r="M568" s="102" t="s">
        <v>857</v>
      </c>
      <c r="P568" s="7"/>
      <c r="Q568" s="8"/>
    </row>
    <row r="569" spans="2:17" ht="15.75">
      <c r="B569" s="63" t="s">
        <v>1020</v>
      </c>
      <c r="C569" s="106" t="s">
        <v>1021</v>
      </c>
      <c r="D569" s="97"/>
      <c r="E569" s="98"/>
      <c r="F569" s="99"/>
      <c r="G569" s="99"/>
      <c r="H569" s="98"/>
      <c r="I569" s="98"/>
      <c r="J569" s="104">
        <v>15</v>
      </c>
      <c r="K569" s="104">
        <v>8</v>
      </c>
      <c r="L569" s="105">
        <v>22</v>
      </c>
      <c r="M569" s="102">
        <v>28890.880000000001</v>
      </c>
      <c r="P569" s="7"/>
      <c r="Q569" s="8"/>
    </row>
    <row r="570" spans="2:17" ht="15.75">
      <c r="B570" s="63" t="s">
        <v>1022</v>
      </c>
      <c r="C570" s="106" t="s">
        <v>1023</v>
      </c>
      <c r="D570" s="97"/>
      <c r="E570" s="98"/>
      <c r="F570" s="99"/>
      <c r="G570" s="99"/>
      <c r="H570" s="98"/>
      <c r="I570" s="98"/>
      <c r="J570" s="104">
        <v>11</v>
      </c>
      <c r="K570" s="104">
        <v>6</v>
      </c>
      <c r="L570" s="105">
        <v>25</v>
      </c>
      <c r="M570" s="102">
        <v>18729.28</v>
      </c>
      <c r="P570" s="7"/>
      <c r="Q570" s="8"/>
    </row>
    <row r="571" spans="2:17" ht="15.75">
      <c r="B571" s="63" t="s">
        <v>1024</v>
      </c>
      <c r="C571" s="106" t="s">
        <v>1025</v>
      </c>
      <c r="D571" s="97"/>
      <c r="E571" s="98"/>
      <c r="F571" s="99"/>
      <c r="G571" s="99"/>
      <c r="H571" s="98"/>
      <c r="I571" s="98"/>
      <c r="J571" s="104">
        <v>15</v>
      </c>
      <c r="K571" s="104">
        <v>8</v>
      </c>
      <c r="L571" s="105">
        <v>25</v>
      </c>
      <c r="M571" s="102" t="s">
        <v>857</v>
      </c>
      <c r="P571" s="7"/>
      <c r="Q571" s="8"/>
    </row>
    <row r="572" spans="2:17" ht="15.75">
      <c r="B572" s="63" t="s">
        <v>1026</v>
      </c>
      <c r="C572" s="106" t="s">
        <v>1027</v>
      </c>
      <c r="D572" s="97"/>
      <c r="E572" s="98"/>
      <c r="F572" s="99"/>
      <c r="G572" s="99"/>
      <c r="H572" s="98"/>
      <c r="I572" s="98"/>
      <c r="J572" s="104">
        <v>15</v>
      </c>
      <c r="K572" s="104">
        <v>8</v>
      </c>
      <c r="L572" s="105">
        <v>19</v>
      </c>
      <c r="M572" s="102" t="s">
        <v>857</v>
      </c>
      <c r="P572" s="7"/>
      <c r="Q572" s="8"/>
    </row>
    <row r="573" spans="2:17" ht="15.75">
      <c r="B573" s="63" t="s">
        <v>1028</v>
      </c>
      <c r="C573" s="106" t="s">
        <v>1029</v>
      </c>
      <c r="D573" s="97"/>
      <c r="E573" s="98"/>
      <c r="F573" s="99"/>
      <c r="G573" s="99"/>
      <c r="H573" s="98"/>
      <c r="I573" s="98"/>
      <c r="J573" s="104">
        <v>15</v>
      </c>
      <c r="K573" s="104">
        <v>8</v>
      </c>
      <c r="L573" s="105">
        <v>22</v>
      </c>
      <c r="M573" s="102" t="s">
        <v>857</v>
      </c>
      <c r="P573" s="7"/>
      <c r="Q573" s="8"/>
    </row>
    <row r="574" spans="2:17" ht="15.75">
      <c r="B574" s="63" t="s">
        <v>1030</v>
      </c>
      <c r="C574" s="106" t="s">
        <v>1031</v>
      </c>
      <c r="D574" s="97"/>
      <c r="E574" s="98"/>
      <c r="F574" s="99"/>
      <c r="G574" s="99"/>
      <c r="H574" s="98"/>
      <c r="I574" s="98"/>
      <c r="J574" s="104"/>
      <c r="K574" s="104"/>
      <c r="L574" s="105"/>
      <c r="M574" s="102" t="s">
        <v>857</v>
      </c>
      <c r="P574" s="7"/>
      <c r="Q574" s="8"/>
    </row>
    <row r="575" spans="2:17" ht="15.75">
      <c r="B575" s="63" t="s">
        <v>1032</v>
      </c>
      <c r="C575" s="106" t="s">
        <v>1033</v>
      </c>
      <c r="D575" s="97"/>
      <c r="E575" s="98"/>
      <c r="F575" s="99"/>
      <c r="G575" s="99"/>
      <c r="H575" s="98"/>
      <c r="I575" s="98"/>
      <c r="J575" s="104"/>
      <c r="K575" s="104"/>
      <c r="L575" s="105"/>
      <c r="M575" s="102">
        <v>4805.16</v>
      </c>
      <c r="P575" s="7"/>
      <c r="Q575" s="8"/>
    </row>
    <row r="576" spans="2:17" ht="15.75">
      <c r="B576" s="63" t="s">
        <v>1034</v>
      </c>
      <c r="C576" s="106" t="s">
        <v>1035</v>
      </c>
      <c r="D576" s="97"/>
      <c r="E576" s="98"/>
      <c r="F576" s="99"/>
      <c r="G576" s="99"/>
      <c r="H576" s="98"/>
      <c r="I576" s="98"/>
      <c r="J576" s="104"/>
      <c r="K576" s="104"/>
      <c r="L576" s="105"/>
      <c r="M576" s="102" t="s">
        <v>857</v>
      </c>
      <c r="P576" s="7"/>
      <c r="Q576" s="8"/>
    </row>
    <row r="577" spans="2:17" ht="15.75">
      <c r="B577" s="63" t="s">
        <v>1036</v>
      </c>
      <c r="C577" s="106" t="s">
        <v>1037</v>
      </c>
      <c r="D577" s="97"/>
      <c r="E577" s="98"/>
      <c r="F577" s="99"/>
      <c r="G577" s="99"/>
      <c r="H577" s="98"/>
      <c r="I577" s="98"/>
      <c r="J577" s="104"/>
      <c r="K577" s="104"/>
      <c r="L577" s="105"/>
      <c r="M577" s="102">
        <v>3691</v>
      </c>
      <c r="P577" s="7"/>
      <c r="Q577" s="8"/>
    </row>
    <row r="578" spans="2:17" ht="15.75">
      <c r="B578" s="63" t="s">
        <v>1038</v>
      </c>
      <c r="C578" s="106" t="s">
        <v>1039</v>
      </c>
      <c r="D578" s="97"/>
      <c r="E578" s="98"/>
      <c r="F578" s="99"/>
      <c r="G578" s="99"/>
      <c r="H578" s="98"/>
      <c r="I578" s="98"/>
      <c r="J578" s="104"/>
      <c r="K578" s="104"/>
      <c r="L578" s="105"/>
      <c r="M578" s="102" t="s">
        <v>857</v>
      </c>
      <c r="P578" s="7"/>
      <c r="Q578" s="8"/>
    </row>
    <row r="579" spans="2:17" ht="15.75">
      <c r="B579" s="63" t="s">
        <v>1040</v>
      </c>
      <c r="C579" s="106" t="s">
        <v>1041</v>
      </c>
      <c r="D579" s="97"/>
      <c r="E579" s="98"/>
      <c r="F579" s="99"/>
      <c r="G579" s="99"/>
      <c r="H579" s="98"/>
      <c r="I579" s="98"/>
      <c r="J579" s="104"/>
      <c r="K579" s="104"/>
      <c r="L579" s="105"/>
      <c r="M579" s="102" t="s">
        <v>857</v>
      </c>
      <c r="P579" s="7"/>
      <c r="Q579" s="8"/>
    </row>
    <row r="580" spans="2:17" ht="15.75">
      <c r="B580" s="63" t="s">
        <v>1042</v>
      </c>
      <c r="C580" s="106" t="s">
        <v>1043</v>
      </c>
      <c r="D580" s="97"/>
      <c r="E580" s="98"/>
      <c r="F580" s="99"/>
      <c r="G580" s="99"/>
      <c r="H580" s="98"/>
      <c r="I580" s="98"/>
      <c r="J580" s="104"/>
      <c r="K580" s="104"/>
      <c r="L580" s="105"/>
      <c r="M580" s="102" t="s">
        <v>857</v>
      </c>
      <c r="P580" s="7"/>
      <c r="Q580" s="8"/>
    </row>
    <row r="581" spans="2:17" ht="15.75">
      <c r="B581" s="63" t="s">
        <v>1044</v>
      </c>
      <c r="C581" s="106" t="s">
        <v>1045</v>
      </c>
      <c r="D581" s="97"/>
      <c r="E581" s="98"/>
      <c r="F581" s="99"/>
      <c r="G581" s="99"/>
      <c r="H581" s="98"/>
      <c r="I581" s="98"/>
      <c r="J581" s="104"/>
      <c r="K581" s="104"/>
      <c r="L581" s="105"/>
      <c r="M581" s="102">
        <v>11120</v>
      </c>
      <c r="P581" s="7"/>
      <c r="Q581" s="8"/>
    </row>
    <row r="582" spans="2:17" ht="15.75">
      <c r="B582" s="63" t="s">
        <v>1046</v>
      </c>
      <c r="C582" s="106" t="s">
        <v>1047</v>
      </c>
      <c r="D582" s="97"/>
      <c r="E582" s="98"/>
      <c r="F582" s="99"/>
      <c r="G582" s="99"/>
      <c r="H582" s="98"/>
      <c r="I582" s="98"/>
      <c r="J582" s="104"/>
      <c r="K582" s="104"/>
      <c r="L582" s="105"/>
      <c r="M582" s="102" t="s">
        <v>857</v>
      </c>
      <c r="P582" s="7"/>
      <c r="Q582" s="8"/>
    </row>
    <row r="583" spans="2:17" ht="15.75">
      <c r="B583" s="63" t="s">
        <v>1048</v>
      </c>
      <c r="C583" s="106" t="s">
        <v>1049</v>
      </c>
      <c r="D583" s="97"/>
      <c r="E583" s="98"/>
      <c r="F583" s="99"/>
      <c r="G583" s="99"/>
      <c r="H583" s="98"/>
      <c r="I583" s="98"/>
      <c r="J583" s="104"/>
      <c r="K583" s="104"/>
      <c r="L583" s="105"/>
      <c r="M583" s="102">
        <v>4740.43</v>
      </c>
      <c r="P583" s="7"/>
      <c r="Q583" s="8"/>
    </row>
    <row r="584" spans="2:17" ht="15.75">
      <c r="B584" s="63" t="s">
        <v>1050</v>
      </c>
      <c r="C584" s="106" t="s">
        <v>1051</v>
      </c>
      <c r="D584" s="97"/>
      <c r="E584" s="98"/>
      <c r="F584" s="99"/>
      <c r="G584" s="99"/>
      <c r="H584" s="98"/>
      <c r="I584" s="98"/>
      <c r="J584" s="104"/>
      <c r="K584" s="104"/>
      <c r="L584" s="105"/>
      <c r="M584" s="102">
        <v>31859.52</v>
      </c>
      <c r="P584" s="7"/>
      <c r="Q584" s="8"/>
    </row>
    <row r="585" spans="2:17" ht="15.75">
      <c r="B585" s="63" t="s">
        <v>1052</v>
      </c>
      <c r="C585" s="106" t="s">
        <v>1053</v>
      </c>
      <c r="D585" s="97"/>
      <c r="E585" s="98"/>
      <c r="F585" s="99"/>
      <c r="G585" s="99"/>
      <c r="H585" s="98"/>
      <c r="I585" s="98"/>
      <c r="J585" s="104"/>
      <c r="K585" s="104"/>
      <c r="L585" s="105"/>
      <c r="M585" s="102" t="s">
        <v>857</v>
      </c>
      <c r="P585" s="7"/>
      <c r="Q585" s="8"/>
    </row>
    <row r="586" spans="2:17" ht="15.75">
      <c r="B586" s="63" t="s">
        <v>1054</v>
      </c>
      <c r="C586" s="106" t="s">
        <v>1055</v>
      </c>
      <c r="D586" s="97"/>
      <c r="E586" s="98"/>
      <c r="F586" s="99"/>
      <c r="G586" s="99"/>
      <c r="H586" s="98"/>
      <c r="I586" s="98"/>
      <c r="J586" s="104"/>
      <c r="K586" s="104"/>
      <c r="L586" s="105"/>
      <c r="M586" s="102" t="s">
        <v>857</v>
      </c>
      <c r="P586" s="7"/>
      <c r="Q586" s="8"/>
    </row>
    <row r="587" spans="2:17" ht="15.75">
      <c r="B587" s="63" t="s">
        <v>1056</v>
      </c>
      <c r="C587" s="106" t="s">
        <v>1057</v>
      </c>
      <c r="D587" s="97"/>
      <c r="E587" s="98"/>
      <c r="F587" s="99"/>
      <c r="G587" s="99"/>
      <c r="H587" s="98"/>
      <c r="I587" s="98"/>
      <c r="J587" s="104"/>
      <c r="K587" s="104"/>
      <c r="L587" s="105"/>
      <c r="M587" s="102" t="s">
        <v>857</v>
      </c>
      <c r="P587" s="7"/>
      <c r="Q587" s="8"/>
    </row>
    <row r="588" spans="2:17" ht="15.75">
      <c r="B588" s="63" t="s">
        <v>1058</v>
      </c>
      <c r="C588" s="106" t="s">
        <v>1059</v>
      </c>
      <c r="D588" s="97"/>
      <c r="E588" s="98"/>
      <c r="F588" s="99"/>
      <c r="G588" s="99"/>
      <c r="H588" s="98"/>
      <c r="I588" s="98"/>
      <c r="J588" s="104"/>
      <c r="K588" s="104"/>
      <c r="L588" s="105"/>
      <c r="M588" s="102">
        <v>13078.16</v>
      </c>
      <c r="P588" s="7"/>
      <c r="Q588" s="8"/>
    </row>
    <row r="589" spans="2:17" ht="15.75">
      <c r="B589" s="63" t="s">
        <v>1060</v>
      </c>
      <c r="C589" s="106" t="s">
        <v>1035</v>
      </c>
      <c r="D589" s="97"/>
      <c r="E589" s="98"/>
      <c r="F589" s="99"/>
      <c r="G589" s="99"/>
      <c r="H589" s="98"/>
      <c r="I589" s="98"/>
      <c r="J589" s="104"/>
      <c r="K589" s="104"/>
      <c r="L589" s="105"/>
      <c r="M589" s="102" t="s">
        <v>857</v>
      </c>
      <c r="P589" s="7"/>
      <c r="Q589" s="8"/>
    </row>
    <row r="590" spans="2:17" ht="16.5" thickBot="1">
      <c r="B590" s="67" t="s">
        <v>1061</v>
      </c>
      <c r="C590" s="107" t="s">
        <v>1062</v>
      </c>
      <c r="D590" s="108"/>
      <c r="E590" s="109"/>
      <c r="F590" s="110"/>
      <c r="G590" s="110"/>
      <c r="H590" s="109"/>
      <c r="I590" s="109"/>
      <c r="J590" s="111"/>
      <c r="K590" s="111"/>
      <c r="L590" s="112"/>
      <c r="M590" s="113">
        <v>10996.26</v>
      </c>
      <c r="P590" s="7"/>
      <c r="Q590" s="8"/>
    </row>
    <row r="591" spans="2:17">
      <c r="B591" s="10"/>
      <c r="C591" s="11"/>
      <c r="D591" s="13"/>
      <c r="E591" s="1"/>
      <c r="F591" s="3"/>
      <c r="G591" s="3"/>
      <c r="H591" s="1"/>
      <c r="I591" s="1"/>
      <c r="J591" s="1"/>
      <c r="K591" s="1"/>
      <c r="L591" s="1"/>
      <c r="P591" s="7"/>
      <c r="Q591" s="8"/>
    </row>
    <row r="592" spans="2:17" ht="13.5" thickBot="1">
      <c r="B592" s="10"/>
      <c r="C592" s="11"/>
      <c r="D592" s="13"/>
      <c r="E592" s="1"/>
      <c r="F592" s="3"/>
      <c r="G592" s="3"/>
      <c r="H592" s="1"/>
      <c r="I592" s="1"/>
      <c r="J592" s="1"/>
      <c r="K592" s="1"/>
      <c r="L592" s="1"/>
      <c r="P592" s="7"/>
      <c r="Q592" s="8"/>
    </row>
    <row r="593" spans="2:17">
      <c r="B593" s="325" t="s">
        <v>1063</v>
      </c>
      <c r="C593" s="326"/>
      <c r="D593" s="326"/>
      <c r="E593" s="326"/>
      <c r="F593" s="326"/>
      <c r="G593" s="326"/>
      <c r="H593" s="326"/>
      <c r="I593" s="326"/>
      <c r="J593" s="326"/>
      <c r="K593" s="326"/>
      <c r="L593" s="326"/>
      <c r="M593" s="326"/>
      <c r="N593" s="326"/>
      <c r="O593" s="327"/>
      <c r="P593" s="7"/>
      <c r="Q593" s="8"/>
    </row>
    <row r="594" spans="2:17">
      <c r="B594" s="328"/>
      <c r="C594" s="329"/>
      <c r="D594" s="329"/>
      <c r="E594" s="329"/>
      <c r="F594" s="329"/>
      <c r="G594" s="329"/>
      <c r="H594" s="329"/>
      <c r="I594" s="329"/>
      <c r="J594" s="329"/>
      <c r="K594" s="329"/>
      <c r="L594" s="329"/>
      <c r="M594" s="329"/>
      <c r="N594" s="329"/>
      <c r="O594" s="330"/>
      <c r="P594" s="7"/>
      <c r="Q594" s="8"/>
    </row>
    <row r="595" spans="2:17" ht="30">
      <c r="B595" s="82" t="s">
        <v>6</v>
      </c>
      <c r="C595" s="42" t="s">
        <v>7</v>
      </c>
      <c r="D595" s="42"/>
      <c r="E595" s="42"/>
      <c r="F595" s="42"/>
      <c r="G595" s="42"/>
      <c r="H595" s="42"/>
      <c r="I595" s="42"/>
      <c r="J595" s="42" t="s">
        <v>8</v>
      </c>
      <c r="K595" s="42" t="s">
        <v>9</v>
      </c>
      <c r="L595" s="42" t="s">
        <v>337</v>
      </c>
      <c r="M595" s="42" t="s">
        <v>11</v>
      </c>
      <c r="N595" s="42"/>
      <c r="O595" s="43" t="s">
        <v>13</v>
      </c>
      <c r="P595" s="7"/>
      <c r="Q595" s="8"/>
    </row>
    <row r="596" spans="2:17" ht="12.75" customHeight="1">
      <c r="B596" s="82" t="s">
        <v>1064</v>
      </c>
      <c r="C596" s="272" t="s">
        <v>1065</v>
      </c>
      <c r="D596" s="272" t="s">
        <v>16</v>
      </c>
      <c r="E596" s="273">
        <v>0</v>
      </c>
      <c r="F596" s="273">
        <v>23.715999999999998</v>
      </c>
      <c r="G596" s="273">
        <v>0</v>
      </c>
      <c r="H596" s="273"/>
      <c r="I596" s="273"/>
      <c r="J596" s="274">
        <v>12</v>
      </c>
      <c r="K596" s="274">
        <v>8</v>
      </c>
      <c r="L596" s="274">
        <v>1</v>
      </c>
      <c r="M596" s="274">
        <v>35</v>
      </c>
      <c r="N596" s="272"/>
      <c r="O596" s="275"/>
      <c r="P596"/>
      <c r="Q596" s="281"/>
    </row>
    <row r="597" spans="2:17" ht="12.75" customHeight="1">
      <c r="B597" s="82" t="s">
        <v>1066</v>
      </c>
      <c r="C597" s="272" t="s">
        <v>1067</v>
      </c>
      <c r="D597" s="272" t="s">
        <v>16</v>
      </c>
      <c r="E597" s="273">
        <v>0</v>
      </c>
      <c r="F597" s="273">
        <v>23.715999999999998</v>
      </c>
      <c r="G597" s="273">
        <v>0</v>
      </c>
      <c r="H597" s="273"/>
      <c r="I597" s="273"/>
      <c r="J597" s="274">
        <v>12</v>
      </c>
      <c r="K597" s="274">
        <v>9</v>
      </c>
      <c r="L597" s="274">
        <v>2</v>
      </c>
      <c r="M597" s="274">
        <v>29</v>
      </c>
      <c r="N597" s="272"/>
      <c r="O597" s="275"/>
      <c r="P597"/>
      <c r="Q597" s="12"/>
    </row>
    <row r="598" spans="2:17" ht="15">
      <c r="B598" s="82" t="s">
        <v>1068</v>
      </c>
      <c r="C598" s="272" t="s">
        <v>1069</v>
      </c>
      <c r="D598" s="272"/>
      <c r="E598" s="272"/>
      <c r="F598" s="272"/>
      <c r="G598" s="272"/>
      <c r="H598" s="272"/>
      <c r="I598" s="272"/>
      <c r="J598" s="274">
        <v>12</v>
      </c>
      <c r="K598" s="274">
        <v>9</v>
      </c>
      <c r="L598" s="274">
        <v>2</v>
      </c>
      <c r="M598" s="274">
        <v>23</v>
      </c>
      <c r="N598" s="272"/>
      <c r="O598" s="275"/>
      <c r="P598" s="20">
        <f t="shared" si="8"/>
        <v>0</v>
      </c>
      <c r="Q598" s="12"/>
    </row>
    <row r="599" spans="2:17" ht="15">
      <c r="B599" s="82" t="s">
        <v>1070</v>
      </c>
      <c r="C599" s="272" t="s">
        <v>1071</v>
      </c>
      <c r="D599" s="272"/>
      <c r="E599" s="272"/>
      <c r="F599" s="272"/>
      <c r="G599" s="272"/>
      <c r="H599" s="272"/>
      <c r="I599" s="272"/>
      <c r="J599" s="274">
        <v>10</v>
      </c>
      <c r="K599" s="274">
        <v>7</v>
      </c>
      <c r="L599" s="274">
        <v>2</v>
      </c>
      <c r="M599" s="274">
        <v>23</v>
      </c>
      <c r="N599" s="272"/>
      <c r="O599" s="275"/>
      <c r="P599" s="15">
        <f t="shared" si="8"/>
        <v>0</v>
      </c>
      <c r="Q599" s="281"/>
    </row>
    <row r="600" spans="2:17" ht="15">
      <c r="B600" s="82" t="s">
        <v>1072</v>
      </c>
      <c r="C600" s="272" t="s">
        <v>1073</v>
      </c>
      <c r="D600" s="272"/>
      <c r="E600" s="272"/>
      <c r="F600" s="272"/>
      <c r="G600" s="272"/>
      <c r="H600" s="272"/>
      <c r="I600" s="272"/>
      <c r="J600" s="274">
        <v>13</v>
      </c>
      <c r="K600" s="274">
        <v>7</v>
      </c>
      <c r="L600" s="274">
        <v>2.5</v>
      </c>
      <c r="M600" s="274">
        <v>45</v>
      </c>
      <c r="N600" s="272"/>
      <c r="O600" s="275"/>
      <c r="P600" s="15">
        <f t="shared" si="8"/>
        <v>0</v>
      </c>
      <c r="Q600" s="281"/>
    </row>
    <row r="601" spans="2:17" ht="15">
      <c r="B601" s="82" t="s">
        <v>1074</v>
      </c>
      <c r="C601" s="272" t="s">
        <v>1075</v>
      </c>
      <c r="D601" s="272"/>
      <c r="E601" s="272"/>
      <c r="F601" s="272"/>
      <c r="G601" s="272"/>
      <c r="H601" s="272"/>
      <c r="I601" s="272"/>
      <c r="J601" s="274">
        <v>12</v>
      </c>
      <c r="K601" s="274">
        <v>6</v>
      </c>
      <c r="L601" s="274">
        <v>2.5</v>
      </c>
      <c r="M601" s="274">
        <v>32</v>
      </c>
      <c r="N601" s="272"/>
      <c r="O601" s="275"/>
      <c r="P601" s="15">
        <f t="shared" si="8"/>
        <v>0</v>
      </c>
      <c r="Q601" s="281"/>
    </row>
    <row r="602" spans="2:17" ht="15">
      <c r="B602" s="82" t="s">
        <v>1076</v>
      </c>
      <c r="C602" s="272" t="s">
        <v>1077</v>
      </c>
      <c r="D602" s="272"/>
      <c r="E602" s="272"/>
      <c r="F602" s="272"/>
      <c r="G602" s="272"/>
      <c r="H602" s="272"/>
      <c r="I602" s="272"/>
      <c r="J602" s="274">
        <v>11</v>
      </c>
      <c r="K602" s="274">
        <v>7</v>
      </c>
      <c r="L602" s="274">
        <v>5.5</v>
      </c>
      <c r="M602" s="274">
        <v>32</v>
      </c>
      <c r="N602" s="272"/>
      <c r="O602" s="275"/>
      <c r="P602" s="15">
        <f t="shared" si="8"/>
        <v>0</v>
      </c>
      <c r="Q602" s="12"/>
    </row>
    <row r="603" spans="2:17" ht="15">
      <c r="B603" s="82" t="s">
        <v>1078</v>
      </c>
      <c r="C603" s="272" t="s">
        <v>1079</v>
      </c>
      <c r="D603" s="272"/>
      <c r="E603" s="272"/>
      <c r="F603" s="272"/>
      <c r="G603" s="272"/>
      <c r="H603" s="272"/>
      <c r="I603" s="272"/>
      <c r="J603" s="274">
        <v>12</v>
      </c>
      <c r="K603" s="274">
        <v>9</v>
      </c>
      <c r="L603" s="274">
        <v>2</v>
      </c>
      <c r="M603" s="274">
        <v>19</v>
      </c>
      <c r="N603" s="272"/>
      <c r="O603" s="275"/>
      <c r="P603" s="15">
        <f t="shared" si="8"/>
        <v>0</v>
      </c>
      <c r="Q603" s="12"/>
    </row>
    <row r="604" spans="2:17" ht="15">
      <c r="B604" s="82" t="s">
        <v>1080</v>
      </c>
      <c r="C604" s="272" t="s">
        <v>1081</v>
      </c>
      <c r="D604" s="272"/>
      <c r="E604" s="272"/>
      <c r="F604" s="272"/>
      <c r="G604" s="272"/>
      <c r="H604" s="272"/>
      <c r="I604" s="272"/>
      <c r="J604" s="274">
        <v>13</v>
      </c>
      <c r="K604" s="274">
        <v>10</v>
      </c>
      <c r="L604" s="274">
        <v>2</v>
      </c>
      <c r="M604" s="274">
        <v>25</v>
      </c>
      <c r="N604" s="272"/>
      <c r="O604" s="275"/>
      <c r="P604" s="15">
        <f t="shared" si="8"/>
        <v>0</v>
      </c>
      <c r="Q604" s="281"/>
    </row>
    <row r="605" spans="2:17" ht="15">
      <c r="B605" s="82" t="s">
        <v>1082</v>
      </c>
      <c r="C605" s="272" t="s">
        <v>1083</v>
      </c>
      <c r="D605" s="272"/>
      <c r="E605" s="272"/>
      <c r="F605" s="272"/>
      <c r="G605" s="272"/>
      <c r="H605" s="272"/>
      <c r="I605" s="272"/>
      <c r="J605" s="274">
        <v>11</v>
      </c>
      <c r="K605" s="274">
        <v>8</v>
      </c>
      <c r="L605" s="274">
        <v>2</v>
      </c>
      <c r="M605" s="274">
        <v>29</v>
      </c>
      <c r="N605" s="272"/>
      <c r="O605" s="275"/>
      <c r="P605" s="15">
        <f t="shared" si="8"/>
        <v>0</v>
      </c>
      <c r="Q605" s="281"/>
    </row>
    <row r="606" spans="2:17" ht="15">
      <c r="B606" s="82" t="s">
        <v>1084</v>
      </c>
      <c r="C606" s="272" t="s">
        <v>1085</v>
      </c>
      <c r="D606" s="272"/>
      <c r="E606" s="272"/>
      <c r="F606" s="272"/>
      <c r="G606" s="272"/>
      <c r="H606" s="272"/>
      <c r="I606" s="272"/>
      <c r="J606" s="274">
        <v>11</v>
      </c>
      <c r="K606" s="274">
        <v>7</v>
      </c>
      <c r="L606" s="274">
        <v>2</v>
      </c>
      <c r="M606" s="274">
        <v>35</v>
      </c>
      <c r="N606" s="272"/>
      <c r="O606" s="275"/>
      <c r="P606" s="15">
        <f t="shared" si="8"/>
        <v>0</v>
      </c>
      <c r="Q606" s="281"/>
    </row>
    <row r="607" spans="2:17" ht="15">
      <c r="B607" s="82" t="s">
        <v>1086</v>
      </c>
      <c r="C607" s="272" t="s">
        <v>1087</v>
      </c>
      <c r="D607" s="272"/>
      <c r="E607" s="272"/>
      <c r="F607" s="272"/>
      <c r="G607" s="272"/>
      <c r="H607" s="272"/>
      <c r="I607" s="272"/>
      <c r="J607" s="274">
        <v>10</v>
      </c>
      <c r="K607" s="274">
        <v>7</v>
      </c>
      <c r="L607" s="274">
        <v>2</v>
      </c>
      <c r="M607" s="274">
        <v>14</v>
      </c>
      <c r="N607" s="272"/>
      <c r="O607" s="275"/>
      <c r="P607" s="15">
        <f t="shared" si="8"/>
        <v>0</v>
      </c>
      <c r="Q607" s="281"/>
    </row>
    <row r="608" spans="2:17" ht="15">
      <c r="B608" s="82" t="s">
        <v>1088</v>
      </c>
      <c r="C608" s="272" t="s">
        <v>1089</v>
      </c>
      <c r="D608" s="272"/>
      <c r="E608" s="272"/>
      <c r="F608" s="272"/>
      <c r="G608" s="272"/>
      <c r="H608" s="272"/>
      <c r="I608" s="272"/>
      <c r="J608" s="274">
        <v>10</v>
      </c>
      <c r="K608" s="274">
        <v>7</v>
      </c>
      <c r="L608" s="274">
        <v>2</v>
      </c>
      <c r="M608" s="274">
        <v>28</v>
      </c>
      <c r="N608" s="272"/>
      <c r="O608" s="275"/>
      <c r="P608" s="15">
        <f t="shared" si="8"/>
        <v>0</v>
      </c>
      <c r="Q608" s="281"/>
    </row>
    <row r="609" spans="2:17" ht="15.75" thickBot="1">
      <c r="B609" s="271" t="s">
        <v>1090</v>
      </c>
      <c r="C609" s="276" t="s">
        <v>1091</v>
      </c>
      <c r="D609" s="276"/>
      <c r="E609" s="276"/>
      <c r="F609" s="276"/>
      <c r="G609" s="276"/>
      <c r="H609" s="276"/>
      <c r="I609" s="276"/>
      <c r="J609" s="277">
        <v>11</v>
      </c>
      <c r="K609" s="277">
        <v>8</v>
      </c>
      <c r="L609" s="277">
        <v>6</v>
      </c>
      <c r="M609" s="277">
        <v>17</v>
      </c>
      <c r="N609" s="276"/>
      <c r="O609" s="278"/>
      <c r="P609" s="15">
        <f t="shared" si="8"/>
        <v>0</v>
      </c>
      <c r="Q609" s="12"/>
    </row>
    <row r="610" spans="2:17">
      <c r="G610"/>
      <c r="P610"/>
      <c r="Q610"/>
    </row>
    <row r="611" spans="2:17" ht="13.5" thickBot="1">
      <c r="G611"/>
      <c r="P611"/>
      <c r="Q611"/>
    </row>
    <row r="612" spans="2:17" ht="12.75" customHeight="1">
      <c r="B612" s="334" t="s">
        <v>1092</v>
      </c>
      <c r="C612" s="335"/>
      <c r="D612" s="335"/>
      <c r="E612" s="335"/>
      <c r="F612" s="335"/>
      <c r="G612" s="335"/>
      <c r="H612" s="335"/>
      <c r="I612" s="335"/>
      <c r="J612" s="336"/>
      <c r="P612"/>
      <c r="Q612"/>
    </row>
    <row r="613" spans="2:17" ht="12.75" customHeight="1">
      <c r="B613" s="337"/>
      <c r="C613" s="338"/>
      <c r="D613" s="338"/>
      <c r="E613" s="338"/>
      <c r="F613" s="338"/>
      <c r="G613" s="338"/>
      <c r="H613" s="338"/>
      <c r="I613" s="338"/>
      <c r="J613" s="339"/>
      <c r="P613"/>
      <c r="Q613"/>
    </row>
    <row r="614" spans="2:17" ht="12.75" customHeight="1">
      <c r="B614" s="331" t="s">
        <v>6</v>
      </c>
      <c r="C614" s="332" t="s">
        <v>7</v>
      </c>
      <c r="D614" s="282"/>
      <c r="E614" s="282"/>
      <c r="F614" s="282"/>
      <c r="G614" s="282"/>
      <c r="H614" s="282"/>
      <c r="I614" s="282"/>
      <c r="J614" s="333" t="s">
        <v>13</v>
      </c>
      <c r="P614"/>
      <c r="Q614"/>
    </row>
    <row r="615" spans="2:17" ht="15" customHeight="1">
      <c r="B615" s="331"/>
      <c r="C615" s="332"/>
      <c r="D615" s="282"/>
      <c r="E615" s="282"/>
      <c r="F615" s="282"/>
      <c r="G615" s="282"/>
      <c r="H615" s="282"/>
      <c r="I615" s="282"/>
      <c r="J615" s="333"/>
      <c r="P615"/>
      <c r="Q615"/>
    </row>
    <row r="616" spans="2:17" ht="15" customHeight="1">
      <c r="B616" s="301" t="s">
        <v>1093</v>
      </c>
      <c r="C616" s="232" t="s">
        <v>1094</v>
      </c>
      <c r="D616" s="294"/>
      <c r="E616" s="294"/>
      <c r="F616" s="294"/>
      <c r="G616" s="294"/>
      <c r="H616" s="294"/>
      <c r="I616" s="294"/>
      <c r="J616" s="254">
        <v>2604.8000000000002</v>
      </c>
      <c r="P616"/>
      <c r="Q616"/>
    </row>
    <row r="617" spans="2:17" ht="15" customHeight="1">
      <c r="B617" s="301" t="s">
        <v>1095</v>
      </c>
      <c r="C617" s="232" t="s">
        <v>1096</v>
      </c>
      <c r="D617" s="294"/>
      <c r="E617" s="294"/>
      <c r="F617" s="294"/>
      <c r="G617" s="294"/>
      <c r="H617" s="294"/>
      <c r="I617" s="294"/>
      <c r="J617" s="254">
        <v>2604.8000000000002</v>
      </c>
      <c r="P617"/>
      <c r="Q617"/>
    </row>
    <row r="618" spans="2:17" ht="12.75" customHeight="1">
      <c r="B618" s="301" t="s">
        <v>1097</v>
      </c>
      <c r="C618" s="232" t="s">
        <v>1098</v>
      </c>
      <c r="D618" s="294"/>
      <c r="E618" s="294"/>
      <c r="F618" s="294"/>
      <c r="G618" s="294"/>
      <c r="H618" s="294"/>
      <c r="I618" s="294"/>
      <c r="J618" s="254">
        <v>2604.8000000000002</v>
      </c>
      <c r="P618"/>
      <c r="Q618"/>
    </row>
    <row r="619" spans="2:17" ht="14.25" customHeight="1">
      <c r="B619" s="301" t="s">
        <v>1099</v>
      </c>
      <c r="C619" s="232" t="s">
        <v>1100</v>
      </c>
      <c r="D619" s="294"/>
      <c r="E619" s="294"/>
      <c r="F619" s="294"/>
      <c r="G619" s="294"/>
      <c r="H619" s="294"/>
      <c r="I619" s="294"/>
      <c r="J619" s="254">
        <v>2604.8000000000002</v>
      </c>
      <c r="P619"/>
      <c r="Q619"/>
    </row>
    <row r="620" spans="2:17" ht="12.75" customHeight="1">
      <c r="B620" s="301" t="s">
        <v>1101</v>
      </c>
      <c r="C620" s="232" t="s">
        <v>1102</v>
      </c>
      <c r="D620" s="294"/>
      <c r="E620" s="294"/>
      <c r="F620" s="294"/>
      <c r="G620" s="294"/>
      <c r="H620" s="294"/>
      <c r="I620" s="294"/>
      <c r="J620" s="254">
        <v>2604.8000000000002</v>
      </c>
      <c r="P620"/>
      <c r="Q620"/>
    </row>
    <row r="621" spans="2:17" ht="15" customHeight="1">
      <c r="B621" s="301" t="s">
        <v>1103</v>
      </c>
      <c r="C621" s="232" t="s">
        <v>1104</v>
      </c>
      <c r="D621" s="294"/>
      <c r="E621" s="294"/>
      <c r="F621" s="294"/>
      <c r="G621" s="294"/>
      <c r="H621" s="294"/>
      <c r="I621" s="294"/>
      <c r="J621" s="254">
        <v>2604.8000000000002</v>
      </c>
      <c r="P621"/>
      <c r="Q621"/>
    </row>
    <row r="622" spans="2:17" ht="14.25" customHeight="1">
      <c r="B622" s="301" t="s">
        <v>1105</v>
      </c>
      <c r="C622" s="232" t="s">
        <v>1106</v>
      </c>
      <c r="D622" s="294"/>
      <c r="E622" s="294"/>
      <c r="F622" s="294"/>
      <c r="G622" s="294"/>
      <c r="H622" s="294"/>
      <c r="I622" s="294"/>
      <c r="J622" s="254">
        <v>2604.8000000000002</v>
      </c>
      <c r="P622"/>
      <c r="Q622"/>
    </row>
    <row r="623" spans="2:17" ht="15" customHeight="1">
      <c r="B623" s="301" t="s">
        <v>1107</v>
      </c>
      <c r="C623" s="232" t="s">
        <v>1108</v>
      </c>
      <c r="D623" s="294"/>
      <c r="E623" s="294"/>
      <c r="F623" s="294"/>
      <c r="G623" s="294"/>
      <c r="H623" s="294"/>
      <c r="I623" s="294"/>
      <c r="J623" s="254">
        <v>2604.8000000000002</v>
      </c>
      <c r="P623"/>
      <c r="Q623"/>
    </row>
    <row r="624" spans="2:17" ht="12.75" customHeight="1">
      <c r="B624" s="301" t="s">
        <v>1109</v>
      </c>
      <c r="C624" s="232" t="s">
        <v>1110</v>
      </c>
      <c r="D624" s="294"/>
      <c r="E624" s="294"/>
      <c r="F624" s="294"/>
      <c r="G624" s="294"/>
      <c r="H624" s="294"/>
      <c r="I624" s="294"/>
      <c r="J624" s="254">
        <v>2604.8000000000002</v>
      </c>
      <c r="P624"/>
      <c r="Q624"/>
    </row>
    <row r="625" spans="2:17" ht="15">
      <c r="B625" s="301" t="s">
        <v>1111</v>
      </c>
      <c r="C625" s="232" t="s">
        <v>1112</v>
      </c>
      <c r="D625" s="232" t="s">
        <v>16</v>
      </c>
      <c r="E625" s="233">
        <v>0</v>
      </c>
      <c r="F625" s="234">
        <v>98.494</v>
      </c>
      <c r="G625" s="234">
        <v>0</v>
      </c>
      <c r="H625" s="233"/>
      <c r="I625" s="233"/>
      <c r="J625" s="254">
        <f t="shared" ref="J625:J648" si="9">325.6*4*2</f>
        <v>2604.8000000000002</v>
      </c>
      <c r="P625" s="15">
        <f t="shared" si="8"/>
        <v>162.80000000000001</v>
      </c>
      <c r="Q625"/>
    </row>
    <row r="626" spans="2:17" ht="15">
      <c r="B626" s="301" t="s">
        <v>1113</v>
      </c>
      <c r="C626" s="232" t="s">
        <v>1114</v>
      </c>
      <c r="D626" s="232" t="s">
        <v>16</v>
      </c>
      <c r="E626" s="233">
        <v>0</v>
      </c>
      <c r="F626" s="234">
        <v>98.494</v>
      </c>
      <c r="G626" s="234">
        <v>0</v>
      </c>
      <c r="H626" s="233"/>
      <c r="I626" s="233"/>
      <c r="J626" s="254">
        <f t="shared" si="9"/>
        <v>2604.8000000000002</v>
      </c>
      <c r="P626" s="15">
        <f t="shared" si="8"/>
        <v>162.80000000000001</v>
      </c>
      <c r="Q626"/>
    </row>
    <row r="627" spans="2:17" ht="15">
      <c r="B627" s="301" t="s">
        <v>1115</v>
      </c>
      <c r="C627" s="232" t="s">
        <v>1116</v>
      </c>
      <c r="D627" s="232" t="s">
        <v>16</v>
      </c>
      <c r="E627" s="233">
        <v>0</v>
      </c>
      <c r="F627" s="234">
        <v>98.494</v>
      </c>
      <c r="G627" s="234">
        <v>0</v>
      </c>
      <c r="H627" s="233"/>
      <c r="I627" s="233"/>
      <c r="J627" s="254">
        <f t="shared" si="9"/>
        <v>2604.8000000000002</v>
      </c>
      <c r="P627" s="15">
        <f t="shared" si="8"/>
        <v>162.80000000000001</v>
      </c>
      <c r="Q627"/>
    </row>
    <row r="628" spans="2:17" ht="15">
      <c r="B628" s="301" t="s">
        <v>1117</v>
      </c>
      <c r="C628" s="232" t="s">
        <v>1118</v>
      </c>
      <c r="D628" s="232" t="s">
        <v>16</v>
      </c>
      <c r="E628" s="233">
        <v>0</v>
      </c>
      <c r="F628" s="234">
        <v>98.494</v>
      </c>
      <c r="G628" s="234">
        <v>0</v>
      </c>
      <c r="H628" s="233"/>
      <c r="I628" s="233"/>
      <c r="J628" s="254">
        <f t="shared" si="9"/>
        <v>2604.8000000000002</v>
      </c>
      <c r="P628" s="15">
        <f t="shared" si="8"/>
        <v>162.80000000000001</v>
      </c>
      <c r="Q628"/>
    </row>
    <row r="629" spans="2:17" ht="15">
      <c r="B629" s="301" t="s">
        <v>1119</v>
      </c>
      <c r="C629" s="232" t="s">
        <v>1120</v>
      </c>
      <c r="D629" s="232" t="s">
        <v>16</v>
      </c>
      <c r="E629" s="233">
        <v>0</v>
      </c>
      <c r="F629" s="234">
        <v>98.494</v>
      </c>
      <c r="G629" s="234">
        <v>0</v>
      </c>
      <c r="H629" s="233"/>
      <c r="I629" s="233"/>
      <c r="J629" s="254">
        <f t="shared" si="9"/>
        <v>2604.8000000000002</v>
      </c>
      <c r="P629" s="15">
        <f t="shared" si="8"/>
        <v>162.80000000000001</v>
      </c>
      <c r="Q629"/>
    </row>
    <row r="630" spans="2:17" ht="15">
      <c r="B630" s="301" t="s">
        <v>1121</v>
      </c>
      <c r="C630" s="232" t="s">
        <v>1122</v>
      </c>
      <c r="D630" s="232" t="s">
        <v>16</v>
      </c>
      <c r="E630" s="233">
        <v>0</v>
      </c>
      <c r="F630" s="234">
        <v>98.494</v>
      </c>
      <c r="G630" s="234">
        <v>0</v>
      </c>
      <c r="H630" s="233"/>
      <c r="I630" s="233"/>
      <c r="J630" s="254">
        <f t="shared" si="9"/>
        <v>2604.8000000000002</v>
      </c>
      <c r="P630" s="15">
        <f t="shared" si="8"/>
        <v>162.80000000000001</v>
      </c>
      <c r="Q630"/>
    </row>
    <row r="631" spans="2:17" ht="15">
      <c r="B631" s="301" t="s">
        <v>1123</v>
      </c>
      <c r="C631" s="232" t="s">
        <v>1124</v>
      </c>
      <c r="D631" s="232" t="s">
        <v>16</v>
      </c>
      <c r="E631" s="233">
        <v>0</v>
      </c>
      <c r="F631" s="234">
        <v>98.494</v>
      </c>
      <c r="G631" s="234">
        <v>0</v>
      </c>
      <c r="H631" s="233"/>
      <c r="I631" s="233"/>
      <c r="J631" s="254">
        <f t="shared" si="9"/>
        <v>2604.8000000000002</v>
      </c>
      <c r="P631" s="15">
        <f t="shared" si="8"/>
        <v>162.80000000000001</v>
      </c>
      <c r="Q631"/>
    </row>
    <row r="632" spans="2:17" ht="15">
      <c r="B632" s="301" t="s">
        <v>1125</v>
      </c>
      <c r="C632" s="232" t="s">
        <v>1126</v>
      </c>
      <c r="D632" s="232" t="s">
        <v>16</v>
      </c>
      <c r="E632" s="233">
        <v>0</v>
      </c>
      <c r="F632" s="234">
        <v>98.494</v>
      </c>
      <c r="G632" s="234">
        <v>0</v>
      </c>
      <c r="H632" s="233"/>
      <c r="I632" s="233"/>
      <c r="J632" s="254">
        <f t="shared" si="9"/>
        <v>2604.8000000000002</v>
      </c>
      <c r="P632" s="15">
        <f t="shared" si="8"/>
        <v>162.80000000000001</v>
      </c>
      <c r="Q632"/>
    </row>
    <row r="633" spans="2:17" ht="15">
      <c r="B633" s="301" t="s">
        <v>1127</v>
      </c>
      <c r="C633" s="232" t="s">
        <v>1128</v>
      </c>
      <c r="D633" s="232" t="s">
        <v>16</v>
      </c>
      <c r="E633" s="233">
        <v>0</v>
      </c>
      <c r="F633" s="234">
        <v>98.494</v>
      </c>
      <c r="G633" s="234">
        <v>0</v>
      </c>
      <c r="H633" s="233"/>
      <c r="I633" s="233"/>
      <c r="J633" s="254">
        <f t="shared" si="9"/>
        <v>2604.8000000000002</v>
      </c>
      <c r="P633" s="15">
        <f t="shared" si="8"/>
        <v>162.80000000000001</v>
      </c>
      <c r="Q633"/>
    </row>
    <row r="634" spans="2:17" ht="15">
      <c r="B634" s="301" t="s">
        <v>1129</v>
      </c>
      <c r="C634" s="232" t="s">
        <v>1130</v>
      </c>
      <c r="D634" s="232" t="s">
        <v>16</v>
      </c>
      <c r="E634" s="233">
        <v>0</v>
      </c>
      <c r="F634" s="234">
        <v>98.494</v>
      </c>
      <c r="G634" s="234">
        <v>0</v>
      </c>
      <c r="H634" s="233"/>
      <c r="I634" s="233"/>
      <c r="J634" s="254">
        <f t="shared" si="9"/>
        <v>2604.8000000000002</v>
      </c>
      <c r="P634" s="15">
        <f t="shared" si="8"/>
        <v>162.80000000000001</v>
      </c>
      <c r="Q634"/>
    </row>
    <row r="635" spans="2:17" ht="15">
      <c r="B635" s="301" t="s">
        <v>1131</v>
      </c>
      <c r="C635" s="232" t="s">
        <v>1132</v>
      </c>
      <c r="D635" s="232" t="s">
        <v>16</v>
      </c>
      <c r="E635" s="233">
        <v>0</v>
      </c>
      <c r="F635" s="234">
        <v>98.494</v>
      </c>
      <c r="G635" s="234">
        <v>0</v>
      </c>
      <c r="H635" s="233"/>
      <c r="I635" s="233"/>
      <c r="J635" s="254">
        <f t="shared" si="9"/>
        <v>2604.8000000000002</v>
      </c>
      <c r="P635" s="15">
        <f t="shared" si="8"/>
        <v>162.80000000000001</v>
      </c>
      <c r="Q635"/>
    </row>
    <row r="636" spans="2:17" ht="15">
      <c r="B636" s="301" t="s">
        <v>1133</v>
      </c>
      <c r="C636" s="232" t="s">
        <v>1134</v>
      </c>
      <c r="D636" s="232" t="s">
        <v>16</v>
      </c>
      <c r="E636" s="233">
        <v>0</v>
      </c>
      <c r="F636" s="234">
        <v>98.494</v>
      </c>
      <c r="G636" s="234">
        <v>0</v>
      </c>
      <c r="H636" s="233"/>
      <c r="I636" s="233"/>
      <c r="J636" s="254">
        <f t="shared" si="9"/>
        <v>2604.8000000000002</v>
      </c>
      <c r="P636" s="15">
        <f t="shared" si="8"/>
        <v>162.80000000000001</v>
      </c>
      <c r="Q636"/>
    </row>
    <row r="637" spans="2:17" ht="15">
      <c r="B637" s="301" t="s">
        <v>1135</v>
      </c>
      <c r="C637" s="232" t="s">
        <v>1136</v>
      </c>
      <c r="D637" s="232" t="s">
        <v>16</v>
      </c>
      <c r="E637" s="233">
        <v>0</v>
      </c>
      <c r="F637" s="234">
        <v>98.494</v>
      </c>
      <c r="G637" s="234">
        <v>0</v>
      </c>
      <c r="H637" s="233"/>
      <c r="I637" s="233"/>
      <c r="J637" s="254">
        <f t="shared" si="9"/>
        <v>2604.8000000000002</v>
      </c>
      <c r="P637" s="15">
        <f t="shared" si="8"/>
        <v>162.80000000000001</v>
      </c>
      <c r="Q637"/>
    </row>
    <row r="638" spans="2:17" ht="15">
      <c r="B638" s="301" t="s">
        <v>1137</v>
      </c>
      <c r="C638" s="232" t="s">
        <v>1138</v>
      </c>
      <c r="D638" s="232" t="s">
        <v>16</v>
      </c>
      <c r="E638" s="233">
        <v>0</v>
      </c>
      <c r="F638" s="234">
        <v>98.494</v>
      </c>
      <c r="G638" s="234">
        <v>0</v>
      </c>
      <c r="H638" s="233"/>
      <c r="I638" s="233"/>
      <c r="J638" s="254">
        <f t="shared" si="9"/>
        <v>2604.8000000000002</v>
      </c>
      <c r="P638" s="15">
        <f t="shared" si="8"/>
        <v>162.80000000000001</v>
      </c>
      <c r="Q638"/>
    </row>
    <row r="639" spans="2:17" ht="15">
      <c r="B639" s="301" t="s">
        <v>1139</v>
      </c>
      <c r="C639" s="232" t="s">
        <v>1140</v>
      </c>
      <c r="D639" s="232" t="s">
        <v>16</v>
      </c>
      <c r="E639" s="233">
        <v>0</v>
      </c>
      <c r="F639" s="234">
        <v>98.494</v>
      </c>
      <c r="G639" s="234">
        <v>0</v>
      </c>
      <c r="H639" s="233"/>
      <c r="I639" s="233"/>
      <c r="J639" s="254">
        <f t="shared" si="9"/>
        <v>2604.8000000000002</v>
      </c>
      <c r="P639" s="15">
        <f t="shared" si="8"/>
        <v>162.80000000000001</v>
      </c>
      <c r="Q639"/>
    </row>
    <row r="640" spans="2:17" ht="15">
      <c r="B640" s="301" t="s">
        <v>1141</v>
      </c>
      <c r="C640" s="232" t="s">
        <v>1142</v>
      </c>
      <c r="D640" s="232" t="s">
        <v>16</v>
      </c>
      <c r="E640" s="233">
        <v>0</v>
      </c>
      <c r="F640" s="234">
        <v>98.494</v>
      </c>
      <c r="G640" s="234">
        <v>0</v>
      </c>
      <c r="H640" s="233"/>
      <c r="I640" s="233"/>
      <c r="J640" s="254">
        <f t="shared" si="9"/>
        <v>2604.8000000000002</v>
      </c>
      <c r="P640" s="15">
        <f t="shared" si="8"/>
        <v>162.80000000000001</v>
      </c>
      <c r="Q640"/>
    </row>
    <row r="641" spans="2:17" ht="15">
      <c r="B641" s="301" t="s">
        <v>1143</v>
      </c>
      <c r="C641" s="232" t="s">
        <v>1144</v>
      </c>
      <c r="D641" s="232" t="s">
        <v>16</v>
      </c>
      <c r="E641" s="233">
        <v>0</v>
      </c>
      <c r="F641" s="234">
        <v>98.494</v>
      </c>
      <c r="G641" s="234">
        <v>0</v>
      </c>
      <c r="H641" s="233"/>
      <c r="I641" s="233"/>
      <c r="J641" s="254">
        <f t="shared" si="9"/>
        <v>2604.8000000000002</v>
      </c>
      <c r="P641" s="15">
        <f t="shared" si="8"/>
        <v>162.80000000000001</v>
      </c>
      <c r="Q641"/>
    </row>
    <row r="642" spans="2:17" ht="15">
      <c r="B642" s="301" t="s">
        <v>1145</v>
      </c>
      <c r="C642" s="232" t="s">
        <v>1146</v>
      </c>
      <c r="D642" s="232" t="s">
        <v>16</v>
      </c>
      <c r="E642" s="233">
        <v>0</v>
      </c>
      <c r="F642" s="234">
        <v>98.494</v>
      </c>
      <c r="G642" s="234">
        <v>0</v>
      </c>
      <c r="H642" s="233"/>
      <c r="I642" s="233"/>
      <c r="J642" s="254">
        <f t="shared" si="9"/>
        <v>2604.8000000000002</v>
      </c>
      <c r="P642" s="15">
        <f t="shared" si="8"/>
        <v>162.80000000000001</v>
      </c>
      <c r="Q642"/>
    </row>
    <row r="643" spans="2:17" ht="15">
      <c r="B643" s="301" t="s">
        <v>1147</v>
      </c>
      <c r="C643" s="232" t="s">
        <v>1148</v>
      </c>
      <c r="D643" s="232" t="s">
        <v>16</v>
      </c>
      <c r="E643" s="233">
        <v>0</v>
      </c>
      <c r="F643" s="234">
        <v>98.494</v>
      </c>
      <c r="G643" s="234">
        <v>0</v>
      </c>
      <c r="H643" s="233"/>
      <c r="I643" s="233"/>
      <c r="J643" s="254">
        <f t="shared" si="9"/>
        <v>2604.8000000000002</v>
      </c>
      <c r="P643" s="15">
        <f t="shared" si="8"/>
        <v>162.80000000000001</v>
      </c>
      <c r="Q643"/>
    </row>
    <row r="644" spans="2:17" ht="15">
      <c r="B644" s="301" t="s">
        <v>1149</v>
      </c>
      <c r="C644" s="232" t="s">
        <v>1150</v>
      </c>
      <c r="D644" s="232" t="s">
        <v>16</v>
      </c>
      <c r="E644" s="233">
        <v>0</v>
      </c>
      <c r="F644" s="234">
        <v>98.494</v>
      </c>
      <c r="G644" s="234">
        <v>0</v>
      </c>
      <c r="H644" s="233"/>
      <c r="I644" s="233"/>
      <c r="J644" s="254">
        <f t="shared" si="9"/>
        <v>2604.8000000000002</v>
      </c>
      <c r="P644" s="15">
        <f t="shared" si="8"/>
        <v>162.80000000000001</v>
      </c>
      <c r="Q644"/>
    </row>
    <row r="645" spans="2:17" ht="15">
      <c r="B645" s="301" t="s">
        <v>1151</v>
      </c>
      <c r="C645" s="232" t="s">
        <v>1152</v>
      </c>
      <c r="D645" s="232" t="s">
        <v>16</v>
      </c>
      <c r="E645" s="233">
        <v>0</v>
      </c>
      <c r="F645" s="234">
        <v>98.494</v>
      </c>
      <c r="G645" s="234">
        <v>0</v>
      </c>
      <c r="H645" s="233"/>
      <c r="I645" s="233"/>
      <c r="J645" s="254">
        <f t="shared" si="9"/>
        <v>2604.8000000000002</v>
      </c>
      <c r="P645" s="15">
        <f t="shared" si="8"/>
        <v>162.80000000000001</v>
      </c>
      <c r="Q645"/>
    </row>
    <row r="646" spans="2:17" ht="15">
      <c r="B646" s="301" t="s">
        <v>1153</v>
      </c>
      <c r="C646" s="232" t="s">
        <v>1154</v>
      </c>
      <c r="D646" s="232" t="s">
        <v>16</v>
      </c>
      <c r="E646" s="233">
        <v>0</v>
      </c>
      <c r="F646" s="234">
        <v>98.494</v>
      </c>
      <c r="G646" s="234">
        <v>0</v>
      </c>
      <c r="H646" s="233"/>
      <c r="I646" s="233"/>
      <c r="J646" s="254">
        <f t="shared" si="9"/>
        <v>2604.8000000000002</v>
      </c>
      <c r="P646" s="15">
        <f t="shared" si="8"/>
        <v>162.80000000000001</v>
      </c>
      <c r="Q646"/>
    </row>
    <row r="647" spans="2:17" ht="15">
      <c r="B647" s="301" t="s">
        <v>1155</v>
      </c>
      <c r="C647" s="232" t="s">
        <v>1156</v>
      </c>
      <c r="D647" s="232" t="s">
        <v>16</v>
      </c>
      <c r="E647" s="233">
        <v>0</v>
      </c>
      <c r="F647" s="234">
        <v>98.494</v>
      </c>
      <c r="G647" s="234">
        <v>0</v>
      </c>
      <c r="H647" s="233"/>
      <c r="I647" s="233"/>
      <c r="J647" s="254">
        <f t="shared" si="9"/>
        <v>2604.8000000000002</v>
      </c>
      <c r="P647" s="15">
        <f t="shared" si="8"/>
        <v>162.80000000000001</v>
      </c>
      <c r="Q647"/>
    </row>
    <row r="648" spans="2:17" ht="15">
      <c r="B648" s="301" t="s">
        <v>1157</v>
      </c>
      <c r="C648" s="232" t="s">
        <v>1158</v>
      </c>
      <c r="D648" s="232" t="s">
        <v>16</v>
      </c>
      <c r="E648" s="233">
        <v>0</v>
      </c>
      <c r="F648" s="234">
        <v>98.494</v>
      </c>
      <c r="G648" s="234">
        <v>0</v>
      </c>
      <c r="H648" s="233"/>
      <c r="I648" s="233"/>
      <c r="J648" s="254">
        <f t="shared" si="9"/>
        <v>2604.8000000000002</v>
      </c>
      <c r="P648" s="15">
        <f t="shared" si="8"/>
        <v>162.80000000000001</v>
      </c>
      <c r="Q648"/>
    </row>
    <row r="649" spans="2:17" ht="15">
      <c r="B649" s="301" t="s">
        <v>1159</v>
      </c>
      <c r="C649" s="232" t="s">
        <v>1160</v>
      </c>
      <c r="D649" s="232" t="s">
        <v>16</v>
      </c>
      <c r="E649" s="233">
        <v>0</v>
      </c>
      <c r="F649" s="234">
        <v>107.81100000000001</v>
      </c>
      <c r="G649" s="234">
        <v>0</v>
      </c>
      <c r="H649" s="233"/>
      <c r="I649" s="233"/>
      <c r="J649" s="254">
        <v>2400</v>
      </c>
      <c r="P649" s="15">
        <f t="shared" si="8"/>
        <v>178.20000000000002</v>
      </c>
      <c r="Q649"/>
    </row>
    <row r="650" spans="2:17" ht="15">
      <c r="B650" s="301" t="s">
        <v>1161</v>
      </c>
      <c r="C650" s="232" t="s">
        <v>1162</v>
      </c>
      <c r="D650" s="232" t="s">
        <v>16</v>
      </c>
      <c r="E650" s="233">
        <v>0</v>
      </c>
      <c r="F650" s="234">
        <v>35.138000000000005</v>
      </c>
      <c r="G650" s="234">
        <v>0</v>
      </c>
      <c r="H650" s="233"/>
      <c r="I650" s="233"/>
      <c r="J650" s="254">
        <f>116.159*4*2</f>
        <v>929.27200000000005</v>
      </c>
      <c r="P650" s="15">
        <f t="shared" si="8"/>
        <v>58.079338842975218</v>
      </c>
      <c r="Q650"/>
    </row>
    <row r="651" spans="2:17" ht="15">
      <c r="B651" s="301" t="s">
        <v>1163</v>
      </c>
      <c r="C651" s="232" t="s">
        <v>1164</v>
      </c>
      <c r="D651" s="232" t="s">
        <v>16</v>
      </c>
      <c r="E651" s="233">
        <v>0</v>
      </c>
      <c r="F651" s="234">
        <v>35.138000000000005</v>
      </c>
      <c r="G651" s="234">
        <v>0</v>
      </c>
      <c r="H651" s="233"/>
      <c r="I651" s="233"/>
      <c r="J651" s="254">
        <f>116.159*4*2</f>
        <v>929.27200000000005</v>
      </c>
      <c r="P651" s="15">
        <f t="shared" si="8"/>
        <v>58.079338842975218</v>
      </c>
      <c r="Q651"/>
    </row>
    <row r="652" spans="2:17" ht="15">
      <c r="B652" s="301" t="s">
        <v>1165</v>
      </c>
      <c r="C652" s="232" t="s">
        <v>1166</v>
      </c>
      <c r="D652" s="232" t="s">
        <v>16</v>
      </c>
      <c r="E652" s="233">
        <v>0</v>
      </c>
      <c r="F652" s="234">
        <v>35.138000000000005</v>
      </c>
      <c r="G652" s="234">
        <v>0</v>
      </c>
      <c r="H652" s="233"/>
      <c r="I652" s="233"/>
      <c r="J652" s="254">
        <f>116.159*4*2</f>
        <v>929.27200000000005</v>
      </c>
      <c r="P652" s="15">
        <f t="shared" si="8"/>
        <v>58.079338842975218</v>
      </c>
      <c r="Q652"/>
    </row>
    <row r="653" spans="2:17" ht="15">
      <c r="B653" s="301" t="s">
        <v>1167</v>
      </c>
      <c r="C653" s="232" t="s">
        <v>1168</v>
      </c>
      <c r="D653" s="232" t="s">
        <v>16</v>
      </c>
      <c r="E653" s="233">
        <v>0</v>
      </c>
      <c r="F653" s="234">
        <v>107.81100000000001</v>
      </c>
      <c r="G653" s="234">
        <v>0</v>
      </c>
      <c r="H653" s="233"/>
      <c r="I653" s="233"/>
      <c r="J653" s="254">
        <f>356.4*4*2</f>
        <v>2851.2</v>
      </c>
      <c r="L653" s="4"/>
      <c r="P653" s="15">
        <f t="shared" si="8"/>
        <v>178.20000000000002</v>
      </c>
      <c r="Q653"/>
    </row>
    <row r="654" spans="2:17" ht="15">
      <c r="B654" s="301" t="s">
        <v>1169</v>
      </c>
      <c r="C654" s="232" t="s">
        <v>1170</v>
      </c>
      <c r="D654" s="232" t="s">
        <v>16</v>
      </c>
      <c r="E654" s="233">
        <v>0</v>
      </c>
      <c r="F654" s="234">
        <v>169.4</v>
      </c>
      <c r="G654" s="234">
        <v>0</v>
      </c>
      <c r="H654" s="233"/>
      <c r="I654" s="233"/>
      <c r="J654" s="254">
        <f>560*4*2</f>
        <v>4480</v>
      </c>
      <c r="P654" s="15">
        <f t="shared" si="8"/>
        <v>280</v>
      </c>
      <c r="Q654"/>
    </row>
    <row r="655" spans="2:17" ht="15">
      <c r="B655" s="301" t="s">
        <v>1171</v>
      </c>
      <c r="C655" s="232" t="s">
        <v>1172</v>
      </c>
      <c r="D655" s="232" t="s">
        <v>16</v>
      </c>
      <c r="E655" s="233">
        <v>0</v>
      </c>
      <c r="F655" s="234">
        <v>0</v>
      </c>
      <c r="G655" s="234">
        <v>0</v>
      </c>
      <c r="H655" s="233"/>
      <c r="I655" s="233"/>
      <c r="J655" s="295">
        <v>2604.8000000000002</v>
      </c>
      <c r="P655" s="15">
        <f t="shared" si="8"/>
        <v>0</v>
      </c>
      <c r="Q655"/>
    </row>
    <row r="656" spans="2:17" ht="15.75" thickBot="1">
      <c r="B656" s="301" t="s">
        <v>1173</v>
      </c>
      <c r="C656" s="232" t="s">
        <v>1174</v>
      </c>
      <c r="D656" s="232" t="s">
        <v>16</v>
      </c>
      <c r="E656" s="233">
        <v>0</v>
      </c>
      <c r="F656" s="234">
        <v>199.65</v>
      </c>
      <c r="G656" s="234">
        <v>0</v>
      </c>
      <c r="H656" s="233"/>
      <c r="I656" s="233"/>
      <c r="J656" s="254">
        <v>2604.8000000000002</v>
      </c>
      <c r="P656" s="18">
        <f t="shared" si="8"/>
        <v>330</v>
      </c>
      <c r="Q656"/>
    </row>
    <row r="657" spans="2:17" ht="15">
      <c r="B657" s="301" t="s">
        <v>1175</v>
      </c>
      <c r="C657" s="232" t="s">
        <v>1176</v>
      </c>
      <c r="D657" s="232"/>
      <c r="E657" s="233"/>
      <c r="F657" s="234"/>
      <c r="G657" s="234"/>
      <c r="H657" s="233"/>
      <c r="I657" s="233"/>
      <c r="J657" s="254">
        <v>2604.8000000000002</v>
      </c>
      <c r="P657" s="93"/>
      <c r="Q657"/>
    </row>
    <row r="658" spans="2:17" ht="15">
      <c r="B658" s="301" t="s">
        <v>1177</v>
      </c>
      <c r="C658" s="232" t="s">
        <v>1178</v>
      </c>
      <c r="D658" s="232"/>
      <c r="E658" s="233"/>
      <c r="F658" s="234"/>
      <c r="G658" s="234"/>
      <c r="H658" s="233"/>
      <c r="I658" s="233"/>
      <c r="J658" s="254">
        <v>2604.8000000000002</v>
      </c>
      <c r="P658" s="93"/>
      <c r="Q658"/>
    </row>
    <row r="659" spans="2:17" ht="15">
      <c r="B659" s="301" t="s">
        <v>1179</v>
      </c>
      <c r="C659" s="232" t="s">
        <v>1180</v>
      </c>
      <c r="D659" s="232"/>
      <c r="E659" s="233"/>
      <c r="F659" s="234"/>
      <c r="G659" s="234"/>
      <c r="H659" s="233"/>
      <c r="I659" s="233"/>
      <c r="J659" s="254">
        <v>2604.8000000000002</v>
      </c>
      <c r="P659" s="93"/>
      <c r="Q659"/>
    </row>
    <row r="660" spans="2:17" ht="15">
      <c r="B660" s="301" t="s">
        <v>1181</v>
      </c>
      <c r="C660" s="232" t="s">
        <v>1182</v>
      </c>
      <c r="D660" s="232"/>
      <c r="E660" s="233"/>
      <c r="F660" s="234"/>
      <c r="G660" s="234"/>
      <c r="H660" s="233"/>
      <c r="I660" s="233"/>
      <c r="J660" s="254">
        <v>2604.8000000000002</v>
      </c>
      <c r="P660" s="93"/>
      <c r="Q660"/>
    </row>
    <row r="661" spans="2:17" ht="15.75" thickBot="1">
      <c r="B661" s="46" t="s">
        <v>1183</v>
      </c>
      <c r="C661" s="239" t="s">
        <v>1184</v>
      </c>
      <c r="D661" s="239"/>
      <c r="E661" s="240"/>
      <c r="F661" s="241"/>
      <c r="G661" s="241"/>
      <c r="H661" s="240"/>
      <c r="I661" s="240"/>
      <c r="J661" s="255">
        <v>2604.8000000000002</v>
      </c>
      <c r="P661" s="93"/>
      <c r="Q661"/>
    </row>
    <row r="662" spans="2:17">
      <c r="B662" s="13"/>
      <c r="C662" s="13"/>
      <c r="D662" s="13"/>
      <c r="E662" s="1"/>
      <c r="F662" s="3"/>
      <c r="G662" s="3"/>
      <c r="H662" s="1"/>
      <c r="I662" s="1"/>
      <c r="J662" s="1"/>
      <c r="K662" s="1"/>
      <c r="L662" s="1"/>
      <c r="P662" s="7"/>
      <c r="Q662" s="8"/>
    </row>
    <row r="663" spans="2:17" ht="13.5" thickBot="1">
      <c r="B663" s="13"/>
      <c r="C663" s="13"/>
      <c r="D663" s="13"/>
      <c r="E663" s="1"/>
      <c r="F663" s="3"/>
      <c r="G663" s="3"/>
      <c r="H663" s="1"/>
      <c r="I663" s="1"/>
      <c r="J663" s="1"/>
      <c r="K663" s="1"/>
      <c r="L663" s="1"/>
      <c r="P663" s="7"/>
      <c r="Q663" s="8"/>
    </row>
    <row r="664" spans="2:17" ht="12.75" customHeight="1">
      <c r="B664" s="313" t="s">
        <v>1185</v>
      </c>
      <c r="C664" s="314"/>
      <c r="D664" s="314"/>
      <c r="E664" s="314"/>
      <c r="F664" s="314"/>
      <c r="G664" s="314"/>
      <c r="H664" s="314"/>
      <c r="I664" s="314"/>
      <c r="J664" s="314"/>
      <c r="K664" s="315"/>
      <c r="P664"/>
      <c r="Q664"/>
    </row>
    <row r="665" spans="2:17" ht="12.75" customHeight="1">
      <c r="B665" s="316"/>
      <c r="C665" s="317"/>
      <c r="D665" s="317"/>
      <c r="E665" s="317"/>
      <c r="F665" s="317"/>
      <c r="G665" s="317"/>
      <c r="H665" s="317"/>
      <c r="I665" s="317"/>
      <c r="J665" s="317"/>
      <c r="K665" s="318"/>
      <c r="P665"/>
      <c r="Q665"/>
    </row>
    <row r="666" spans="2:17" ht="12.75" customHeight="1">
      <c r="B666" s="323" t="s">
        <v>6</v>
      </c>
      <c r="C666" s="324" t="s">
        <v>7</v>
      </c>
      <c r="D666" s="288"/>
      <c r="E666" s="288"/>
      <c r="F666" s="288"/>
      <c r="G666" s="288"/>
      <c r="H666" s="288"/>
      <c r="I666" s="288"/>
      <c r="J666" s="305" t="s">
        <v>629</v>
      </c>
      <c r="K666" s="306" t="s">
        <v>13</v>
      </c>
      <c r="P666"/>
      <c r="Q666"/>
    </row>
    <row r="667" spans="2:17" ht="15">
      <c r="B667" s="323"/>
      <c r="C667" s="324"/>
      <c r="D667" s="283"/>
      <c r="E667" s="284"/>
      <c r="F667" s="285"/>
      <c r="G667" s="285"/>
      <c r="H667" s="284"/>
      <c r="I667" s="284"/>
      <c r="J667" s="305"/>
      <c r="K667" s="306"/>
      <c r="P667"/>
      <c r="Q667"/>
    </row>
    <row r="668" spans="2:17" ht="15.75">
      <c r="B668" s="50" t="s">
        <v>1186</v>
      </c>
      <c r="C668" s="149" t="s">
        <v>1187</v>
      </c>
      <c r="D668" s="149" t="s">
        <v>16</v>
      </c>
      <c r="E668" s="150">
        <v>0</v>
      </c>
      <c r="F668" s="151">
        <v>34.073999999999998</v>
      </c>
      <c r="G668" s="151">
        <v>0</v>
      </c>
      <c r="H668" s="150"/>
      <c r="I668" s="150"/>
      <c r="J668" s="153">
        <v>9</v>
      </c>
      <c r="K668" s="155">
        <v>854</v>
      </c>
      <c r="P668"/>
      <c r="Q668"/>
    </row>
    <row r="669" spans="2:17" ht="15.75">
      <c r="B669" s="50" t="s">
        <v>1188</v>
      </c>
      <c r="C669" s="149" t="s">
        <v>1126</v>
      </c>
      <c r="D669" s="149" t="s">
        <v>16</v>
      </c>
      <c r="E669" s="150">
        <v>0</v>
      </c>
      <c r="F669" s="151">
        <v>34.073999999999998</v>
      </c>
      <c r="G669" s="151">
        <v>0</v>
      </c>
      <c r="H669" s="150"/>
      <c r="I669" s="150"/>
      <c r="J669" s="153">
        <v>20</v>
      </c>
      <c r="K669" s="155">
        <v>854</v>
      </c>
      <c r="P669"/>
      <c r="Q669"/>
    </row>
    <row r="670" spans="2:17" ht="15.75">
      <c r="B670" s="50" t="s">
        <v>1189</v>
      </c>
      <c r="C670" s="149" t="s">
        <v>1190</v>
      </c>
      <c r="D670" s="149" t="s">
        <v>16</v>
      </c>
      <c r="E670" s="150">
        <v>0</v>
      </c>
      <c r="F670" s="151">
        <v>34.073999999999998</v>
      </c>
      <c r="G670" s="151">
        <v>0</v>
      </c>
      <c r="H670" s="150"/>
      <c r="I670" s="150"/>
      <c r="J670" s="153">
        <v>16</v>
      </c>
      <c r="K670" s="155">
        <v>854</v>
      </c>
      <c r="P670"/>
      <c r="Q670"/>
    </row>
    <row r="671" spans="2:17" ht="15.75">
      <c r="B671" s="50" t="s">
        <v>1191</v>
      </c>
      <c r="C671" s="149" t="s">
        <v>1192</v>
      </c>
      <c r="D671" s="149" t="s">
        <v>16</v>
      </c>
      <c r="E671" s="150">
        <v>0</v>
      </c>
      <c r="F671" s="151">
        <v>34.073999999999998</v>
      </c>
      <c r="G671" s="151">
        <v>0</v>
      </c>
      <c r="H671" s="150"/>
      <c r="I671" s="150"/>
      <c r="J671" s="153">
        <v>10.5</v>
      </c>
      <c r="K671" s="155">
        <v>854</v>
      </c>
      <c r="P671"/>
      <c r="Q671"/>
    </row>
    <row r="672" spans="2:17" ht="15.75">
      <c r="B672" s="50" t="s">
        <v>1193</v>
      </c>
      <c r="C672" s="149" t="s">
        <v>1194</v>
      </c>
      <c r="D672" s="149" t="s">
        <v>16</v>
      </c>
      <c r="E672" s="150">
        <v>0</v>
      </c>
      <c r="F672" s="151">
        <v>3407.36</v>
      </c>
      <c r="G672" s="151">
        <v>0</v>
      </c>
      <c r="H672" s="150"/>
      <c r="I672" s="150"/>
      <c r="J672" s="286" t="s">
        <v>1195</v>
      </c>
      <c r="K672" s="256">
        <v>80112</v>
      </c>
      <c r="P672"/>
      <c r="Q672"/>
    </row>
    <row r="673" spans="2:17" ht="15.75">
      <c r="B673" s="50" t="s">
        <v>1196</v>
      </c>
      <c r="C673" s="149" t="s">
        <v>1197</v>
      </c>
      <c r="D673" s="149" t="s">
        <v>16</v>
      </c>
      <c r="E673" s="150">
        <v>0</v>
      </c>
      <c r="F673" s="151">
        <v>34.073999999999998</v>
      </c>
      <c r="G673" s="151">
        <v>0</v>
      </c>
      <c r="H673" s="150"/>
      <c r="I673" s="150"/>
      <c r="J673" s="153">
        <v>10.5</v>
      </c>
      <c r="K673" s="155">
        <v>854</v>
      </c>
      <c r="P673"/>
      <c r="Q673"/>
    </row>
    <row r="674" spans="2:17" ht="16.5" thickBot="1">
      <c r="B674" s="52" t="s">
        <v>1198</v>
      </c>
      <c r="C674" s="156" t="s">
        <v>1199</v>
      </c>
      <c r="D674" s="156" t="s">
        <v>16</v>
      </c>
      <c r="E674" s="157">
        <v>0</v>
      </c>
      <c r="F674" s="158">
        <v>26.62</v>
      </c>
      <c r="G674" s="158">
        <v>0</v>
      </c>
      <c r="H674" s="157"/>
      <c r="I674" s="157"/>
      <c r="J674" s="287" t="s">
        <v>1200</v>
      </c>
      <c r="K674" s="253">
        <v>704</v>
      </c>
      <c r="P674"/>
      <c r="Q674"/>
    </row>
    <row r="675" spans="2:17">
      <c r="B675" s="13"/>
      <c r="C675" s="13"/>
      <c r="D675" s="13"/>
      <c r="E675" s="1"/>
      <c r="F675" s="3"/>
      <c r="G675" s="3"/>
      <c r="H675" s="1"/>
      <c r="I675" s="1"/>
      <c r="J675" s="1"/>
      <c r="K675" s="1"/>
      <c r="L675" s="1"/>
      <c r="P675" s="7"/>
      <c r="Q675" s="8"/>
    </row>
    <row r="676" spans="2:17" ht="13.5" thickBot="1">
      <c r="B676" s="13"/>
      <c r="C676" s="13"/>
      <c r="D676" s="13"/>
      <c r="E676" s="1"/>
      <c r="F676" s="3"/>
      <c r="G676" s="3"/>
      <c r="H676" s="1"/>
      <c r="I676" s="1"/>
      <c r="J676" s="1"/>
      <c r="K676" s="1"/>
      <c r="L676" s="1"/>
      <c r="P676" s="7"/>
      <c r="Q676" s="8"/>
    </row>
    <row r="677" spans="2:17" ht="12.75" customHeight="1">
      <c r="B677" s="319" t="s">
        <v>1201</v>
      </c>
      <c r="C677" s="320"/>
      <c r="D677" s="320"/>
      <c r="E677" s="320"/>
      <c r="F677" s="320"/>
      <c r="G677" s="320"/>
      <c r="H677" s="320"/>
      <c r="I677" s="320"/>
      <c r="J677" s="320"/>
      <c r="K677" s="320"/>
      <c r="L677" s="320"/>
      <c r="M677" s="320"/>
      <c r="N677" s="320"/>
      <c r="O677" s="320"/>
      <c r="P677" s="299"/>
      <c r="Q677"/>
    </row>
    <row r="678" spans="2:17" ht="12.75" customHeight="1">
      <c r="B678" s="321"/>
      <c r="C678" s="322"/>
      <c r="D678" s="322"/>
      <c r="E678" s="322"/>
      <c r="F678" s="322"/>
      <c r="G678" s="322"/>
      <c r="H678" s="322"/>
      <c r="I678" s="322"/>
      <c r="J678" s="322"/>
      <c r="K678" s="322"/>
      <c r="L678" s="322"/>
      <c r="M678" s="322"/>
      <c r="N678" s="322"/>
      <c r="O678" s="322"/>
      <c r="P678" s="300"/>
      <c r="Q678"/>
    </row>
    <row r="679" spans="2:17" ht="30">
      <c r="B679" s="57" t="s">
        <v>6</v>
      </c>
      <c r="C679" s="60" t="s">
        <v>7</v>
      </c>
      <c r="D679" s="60"/>
      <c r="E679" s="80"/>
      <c r="F679" s="61"/>
      <c r="G679" s="61"/>
      <c r="H679" s="80"/>
      <c r="I679" s="80"/>
      <c r="J679" s="61" t="s">
        <v>8</v>
      </c>
      <c r="K679" s="61" t="s">
        <v>9</v>
      </c>
      <c r="L679" s="61" t="s">
        <v>337</v>
      </c>
      <c r="M679" s="61" t="s">
        <v>11</v>
      </c>
      <c r="N679" s="289"/>
      <c r="O679" s="62" t="s">
        <v>13</v>
      </c>
      <c r="P679" s="16"/>
      <c r="Q679"/>
    </row>
    <row r="680" spans="2:17" ht="15.75">
      <c r="B680" s="57" t="s">
        <v>1202</v>
      </c>
      <c r="C680" s="199" t="s">
        <v>1203</v>
      </c>
      <c r="D680" s="199" t="s">
        <v>16</v>
      </c>
      <c r="E680" s="200">
        <v>0</v>
      </c>
      <c r="F680" s="201">
        <v>13.552</v>
      </c>
      <c r="G680" s="201">
        <v>0</v>
      </c>
      <c r="H680" s="200"/>
      <c r="I680" s="200"/>
      <c r="J680" s="202">
        <v>13</v>
      </c>
      <c r="K680" s="202">
        <v>6.9</v>
      </c>
      <c r="L680" s="203">
        <v>7</v>
      </c>
      <c r="M680" s="202">
        <v>7</v>
      </c>
      <c r="N680" s="290"/>
      <c r="O680" s="204">
        <f>44.8*4</f>
        <v>179.2</v>
      </c>
      <c r="P680" s="15">
        <f t="shared" si="8"/>
        <v>22.4</v>
      </c>
      <c r="Q680"/>
    </row>
    <row r="681" spans="2:17" ht="15.75">
      <c r="B681" s="57" t="s">
        <v>1204</v>
      </c>
      <c r="C681" s="199" t="s">
        <v>1205</v>
      </c>
      <c r="D681" s="199" t="s">
        <v>16</v>
      </c>
      <c r="E681" s="200">
        <v>0</v>
      </c>
      <c r="F681" s="201">
        <v>12.777999999999999</v>
      </c>
      <c r="G681" s="201">
        <v>0</v>
      </c>
      <c r="H681" s="200"/>
      <c r="I681" s="200"/>
      <c r="J681" s="202">
        <v>13</v>
      </c>
      <c r="K681" s="202">
        <v>6.9</v>
      </c>
      <c r="L681" s="203">
        <v>4</v>
      </c>
      <c r="M681" s="202">
        <v>7</v>
      </c>
      <c r="N681" s="290"/>
      <c r="O681" s="204">
        <f>42.241*4</f>
        <v>168.964</v>
      </c>
      <c r="P681" s="15">
        <f t="shared" ref="P681:P684" si="10">+(F681/1.21)*2</f>
        <v>21.120661157024792</v>
      </c>
      <c r="Q681"/>
    </row>
    <row r="682" spans="2:17" ht="15.75">
      <c r="B682" s="57" t="s">
        <v>1206</v>
      </c>
      <c r="C682" s="199" t="s">
        <v>1207</v>
      </c>
      <c r="D682" s="199" t="s">
        <v>16</v>
      </c>
      <c r="E682" s="200">
        <v>0</v>
      </c>
      <c r="F682" s="201">
        <v>15.488</v>
      </c>
      <c r="G682" s="201">
        <v>0</v>
      </c>
      <c r="H682" s="200"/>
      <c r="I682" s="200"/>
      <c r="J682" s="202">
        <v>12</v>
      </c>
      <c r="K682" s="202">
        <v>5.9</v>
      </c>
      <c r="L682" s="203">
        <v>8</v>
      </c>
      <c r="M682" s="202">
        <v>7</v>
      </c>
      <c r="N682" s="290"/>
      <c r="O682" s="204">
        <f>51.2*4</f>
        <v>204.8</v>
      </c>
      <c r="P682" s="15">
        <f t="shared" si="10"/>
        <v>25.6</v>
      </c>
      <c r="Q682"/>
    </row>
    <row r="683" spans="2:17" ht="15.75">
      <c r="B683" s="57" t="s">
        <v>1208</v>
      </c>
      <c r="C683" s="199" t="s">
        <v>1209</v>
      </c>
      <c r="D683" s="199" t="s">
        <v>16</v>
      </c>
      <c r="E683" s="200">
        <v>0</v>
      </c>
      <c r="F683" s="201">
        <v>15.875</v>
      </c>
      <c r="G683" s="201">
        <v>0</v>
      </c>
      <c r="H683" s="200"/>
      <c r="I683" s="200"/>
      <c r="J683" s="202">
        <v>11</v>
      </c>
      <c r="K683" s="202">
        <v>6.4</v>
      </c>
      <c r="L683" s="203">
        <v>8.5</v>
      </c>
      <c r="M683" s="202">
        <v>7</v>
      </c>
      <c r="N683" s="290"/>
      <c r="O683" s="204">
        <f>52.479*4</f>
        <v>209.916</v>
      </c>
      <c r="P683" s="15">
        <f t="shared" si="10"/>
        <v>26.239669421487605</v>
      </c>
      <c r="Q683"/>
    </row>
    <row r="684" spans="2:17" ht="15.75">
      <c r="B684" s="57" t="s">
        <v>1210</v>
      </c>
      <c r="C684" s="199" t="s">
        <v>1211</v>
      </c>
      <c r="D684" s="199" t="s">
        <v>16</v>
      </c>
      <c r="E684" s="200">
        <v>0</v>
      </c>
      <c r="F684" s="201">
        <v>18.198</v>
      </c>
      <c r="G684" s="201">
        <v>0</v>
      </c>
      <c r="H684" s="200"/>
      <c r="I684" s="200"/>
      <c r="J684" s="202">
        <v>13</v>
      </c>
      <c r="K684" s="202">
        <v>4.9000000000000004</v>
      </c>
      <c r="L684" s="203">
        <v>8.1</v>
      </c>
      <c r="M684" s="202">
        <v>7</v>
      </c>
      <c r="N684" s="290"/>
      <c r="O684" s="204">
        <f>60.159*4</f>
        <v>240.636</v>
      </c>
      <c r="P684" s="15">
        <f t="shared" si="10"/>
        <v>30.079338842975208</v>
      </c>
      <c r="Q684"/>
    </row>
    <row r="685" spans="2:17" ht="16.5" thickBot="1">
      <c r="B685" s="58" t="s">
        <v>1212</v>
      </c>
      <c r="C685" s="205" t="s">
        <v>1213</v>
      </c>
      <c r="D685" s="205"/>
      <c r="E685" s="206"/>
      <c r="F685" s="207"/>
      <c r="G685" s="207"/>
      <c r="H685" s="206"/>
      <c r="I685" s="206"/>
      <c r="J685" s="208">
        <v>12.7</v>
      </c>
      <c r="K685" s="208">
        <v>7.8</v>
      </c>
      <c r="L685" s="209">
        <v>5.7</v>
      </c>
      <c r="M685" s="208">
        <v>7</v>
      </c>
      <c r="N685" s="291"/>
      <c r="O685" s="210">
        <v>183.04</v>
      </c>
      <c r="P685" s="27"/>
      <c r="Q685"/>
    </row>
    <row r="686" spans="2:17">
      <c r="B686" s="13"/>
      <c r="C686" s="13"/>
      <c r="D686" s="13"/>
      <c r="E686" s="1"/>
      <c r="F686" s="3"/>
      <c r="G686" s="3"/>
      <c r="H686" s="1"/>
      <c r="I686" s="1"/>
      <c r="J686" s="1"/>
      <c r="K686" s="1"/>
      <c r="L686" s="1"/>
      <c r="P686" s="7"/>
      <c r="Q686" s="8"/>
    </row>
    <row r="687" spans="2:17" ht="13.5" thickBot="1">
      <c r="B687" s="13"/>
      <c r="C687" s="13"/>
      <c r="D687" s="13"/>
      <c r="E687" s="1"/>
      <c r="F687" s="3"/>
      <c r="G687" s="3"/>
      <c r="H687" s="1"/>
      <c r="I687" s="1"/>
      <c r="J687" s="1"/>
      <c r="K687" s="1"/>
      <c r="L687" s="1"/>
      <c r="P687" s="7"/>
      <c r="Q687" s="8"/>
    </row>
    <row r="688" spans="2:17" ht="12.75" customHeight="1">
      <c r="B688" s="307" t="s">
        <v>1214</v>
      </c>
      <c r="C688" s="308"/>
      <c r="D688" s="308"/>
      <c r="E688" s="308"/>
      <c r="F688" s="308"/>
      <c r="G688" s="308"/>
      <c r="H688" s="308"/>
      <c r="I688" s="308"/>
      <c r="J688" s="308"/>
      <c r="K688" s="308"/>
      <c r="L688" s="308"/>
      <c r="M688" s="309"/>
      <c r="N688" s="35"/>
      <c r="P688"/>
      <c r="Q688"/>
    </row>
    <row r="689" spans="2:17" ht="12.75" customHeight="1">
      <c r="B689" s="310"/>
      <c r="C689" s="311"/>
      <c r="D689" s="311"/>
      <c r="E689" s="311"/>
      <c r="F689" s="311"/>
      <c r="G689" s="311"/>
      <c r="H689" s="311"/>
      <c r="I689" s="311"/>
      <c r="J689" s="311"/>
      <c r="K689" s="311"/>
      <c r="L689" s="311"/>
      <c r="M689" s="312"/>
      <c r="N689" s="36"/>
      <c r="P689"/>
      <c r="Q689"/>
    </row>
    <row r="690" spans="2:17" ht="30">
      <c r="B690" s="63" t="s">
        <v>6</v>
      </c>
      <c r="C690" s="69" t="s">
        <v>7</v>
      </c>
      <c r="D690" s="69"/>
      <c r="E690" s="91"/>
      <c r="F690" s="71"/>
      <c r="G690" s="71"/>
      <c r="H690" s="91"/>
      <c r="I690" s="91"/>
      <c r="J690" s="71" t="s">
        <v>8</v>
      </c>
      <c r="K690" s="71" t="s">
        <v>9</v>
      </c>
      <c r="L690" s="71" t="s">
        <v>337</v>
      </c>
      <c r="M690" s="73" t="s">
        <v>13</v>
      </c>
      <c r="N690" s="37"/>
      <c r="P690"/>
      <c r="Q690" s="4"/>
    </row>
    <row r="691" spans="2:17" ht="15.75">
      <c r="B691" s="63" t="s">
        <v>1215</v>
      </c>
      <c r="C691" s="97" t="s">
        <v>1216</v>
      </c>
      <c r="D691" s="97" t="s">
        <v>16</v>
      </c>
      <c r="E691" s="98">
        <v>0</v>
      </c>
      <c r="F691" s="99">
        <v>22.263999999999999</v>
      </c>
      <c r="G691" s="99">
        <v>0</v>
      </c>
      <c r="H691" s="98"/>
      <c r="I691" s="98"/>
      <c r="J691" s="104">
        <v>15.9</v>
      </c>
      <c r="K691" s="104">
        <v>12.7</v>
      </c>
      <c r="L691" s="105">
        <v>8.5</v>
      </c>
      <c r="M691" s="115">
        <f>73.6*4</f>
        <v>294.39999999999998</v>
      </c>
      <c r="N691" s="38"/>
      <c r="P691"/>
      <c r="Q691"/>
    </row>
    <row r="692" spans="2:17" ht="15.75">
      <c r="B692" s="63" t="s">
        <v>1217</v>
      </c>
      <c r="C692" s="97" t="s">
        <v>1218</v>
      </c>
      <c r="D692" s="97" t="s">
        <v>16</v>
      </c>
      <c r="E692" s="98">
        <v>0</v>
      </c>
      <c r="F692" s="99">
        <v>15.488</v>
      </c>
      <c r="G692" s="99">
        <v>0</v>
      </c>
      <c r="H692" s="98"/>
      <c r="I692" s="98"/>
      <c r="J692" s="104">
        <v>12</v>
      </c>
      <c r="K692" s="104">
        <v>9.1999999999999993</v>
      </c>
      <c r="L692" s="105">
        <v>8.5</v>
      </c>
      <c r="M692" s="115">
        <f>51.2*4</f>
        <v>204.8</v>
      </c>
      <c r="N692" s="38"/>
      <c r="P692"/>
      <c r="Q692"/>
    </row>
    <row r="693" spans="2:17" ht="15.75">
      <c r="B693" s="63" t="s">
        <v>1219</v>
      </c>
      <c r="C693" s="97" t="s">
        <v>1220</v>
      </c>
      <c r="D693" s="97" t="s">
        <v>16</v>
      </c>
      <c r="E693" s="98">
        <v>0</v>
      </c>
      <c r="F693" s="99">
        <v>14.036</v>
      </c>
      <c r="G693" s="99">
        <v>0</v>
      </c>
      <c r="H693" s="98"/>
      <c r="I693" s="98"/>
      <c r="J693" s="104">
        <v>12</v>
      </c>
      <c r="K693" s="104">
        <v>9.1999999999999993</v>
      </c>
      <c r="L693" s="105">
        <v>6.6</v>
      </c>
      <c r="M693" s="115">
        <f>46.4*4</f>
        <v>185.6</v>
      </c>
      <c r="N693" s="38"/>
      <c r="P693"/>
      <c r="Q693"/>
    </row>
    <row r="694" spans="2:17" ht="15.75">
      <c r="B694" s="63" t="s">
        <v>1221</v>
      </c>
      <c r="C694" s="97" t="s">
        <v>1222</v>
      </c>
      <c r="D694" s="97" t="s">
        <v>16</v>
      </c>
      <c r="E694" s="98">
        <v>0</v>
      </c>
      <c r="F694" s="99">
        <v>16.940000000000001</v>
      </c>
      <c r="G694" s="99">
        <v>0</v>
      </c>
      <c r="H694" s="98"/>
      <c r="I694" s="98"/>
      <c r="J694" s="104">
        <v>12</v>
      </c>
      <c r="K694" s="104">
        <v>9.1999999999999993</v>
      </c>
      <c r="L694" s="105">
        <v>11.5</v>
      </c>
      <c r="M694" s="115">
        <f>56*4</f>
        <v>224</v>
      </c>
      <c r="N694" s="38"/>
      <c r="P694"/>
      <c r="Q694"/>
    </row>
    <row r="695" spans="2:17" ht="15.75">
      <c r="B695" s="63" t="s">
        <v>1223</v>
      </c>
      <c r="C695" s="97" t="s">
        <v>1224</v>
      </c>
      <c r="D695" s="97" t="s">
        <v>16</v>
      </c>
      <c r="E695" s="98">
        <v>0</v>
      </c>
      <c r="F695" s="99">
        <v>18.149999999999999</v>
      </c>
      <c r="G695" s="99">
        <v>0</v>
      </c>
      <c r="H695" s="98"/>
      <c r="I695" s="98"/>
      <c r="J695" s="104">
        <v>15.9</v>
      </c>
      <c r="K695" s="104">
        <v>12.7</v>
      </c>
      <c r="L695" s="105">
        <v>6.5</v>
      </c>
      <c r="M695" s="115">
        <v>240.64</v>
      </c>
      <c r="N695" s="38"/>
      <c r="P695"/>
      <c r="Q695"/>
    </row>
    <row r="696" spans="2:17" ht="15.75">
      <c r="B696" s="63" t="s">
        <v>1225</v>
      </c>
      <c r="C696" s="97" t="s">
        <v>1226</v>
      </c>
      <c r="D696" s="97" t="s">
        <v>16</v>
      </c>
      <c r="E696" s="98">
        <v>0</v>
      </c>
      <c r="F696" s="99">
        <v>27.684999999999999</v>
      </c>
      <c r="G696" s="99">
        <v>0</v>
      </c>
      <c r="H696" s="98"/>
      <c r="I696" s="98"/>
      <c r="J696" s="104">
        <v>12</v>
      </c>
      <c r="K696" s="104">
        <v>9.1999999999999993</v>
      </c>
      <c r="L696" s="105">
        <v>18</v>
      </c>
      <c r="M696" s="115">
        <f>91.521*4</f>
        <v>366.084</v>
      </c>
      <c r="N696" s="38"/>
      <c r="P696"/>
      <c r="Q696"/>
    </row>
    <row r="697" spans="2:17" ht="15.75">
      <c r="B697" s="63" t="s">
        <v>1227</v>
      </c>
      <c r="C697" s="97" t="s">
        <v>1228</v>
      </c>
      <c r="D697" s="97" t="s">
        <v>16</v>
      </c>
      <c r="E697" s="98">
        <v>0</v>
      </c>
      <c r="F697" s="99">
        <v>24.2</v>
      </c>
      <c r="G697" s="99">
        <v>0</v>
      </c>
      <c r="H697" s="98"/>
      <c r="I697" s="98"/>
      <c r="J697" s="104">
        <v>15.9</v>
      </c>
      <c r="K697" s="104">
        <v>12.7</v>
      </c>
      <c r="L697" s="105">
        <v>14</v>
      </c>
      <c r="M697" s="115">
        <f>80*4</f>
        <v>320</v>
      </c>
      <c r="N697" s="38"/>
      <c r="P697"/>
      <c r="Q697"/>
    </row>
    <row r="698" spans="2:17" ht="15.75">
      <c r="B698" s="63" t="s">
        <v>1229</v>
      </c>
      <c r="C698" s="97" t="s">
        <v>1230</v>
      </c>
      <c r="D698" s="97" t="s">
        <v>16</v>
      </c>
      <c r="E698" s="98">
        <v>0</v>
      </c>
      <c r="F698" s="99">
        <v>22.263999999999999</v>
      </c>
      <c r="G698" s="99">
        <v>0</v>
      </c>
      <c r="H698" s="98"/>
      <c r="I698" s="98"/>
      <c r="J698" s="104">
        <v>12</v>
      </c>
      <c r="K698" s="104">
        <v>9.1999999999999993</v>
      </c>
      <c r="L698" s="105">
        <v>12.5</v>
      </c>
      <c r="M698" s="115">
        <f>73.6*4</f>
        <v>294.39999999999998</v>
      </c>
      <c r="N698" s="38"/>
      <c r="P698"/>
      <c r="Q698"/>
    </row>
    <row r="699" spans="2:17" ht="15.75">
      <c r="B699" s="63" t="s">
        <v>1231</v>
      </c>
      <c r="C699" s="97" t="s">
        <v>1232</v>
      </c>
      <c r="D699" s="97" t="s">
        <v>16</v>
      </c>
      <c r="E699" s="98">
        <v>0</v>
      </c>
      <c r="F699" s="99">
        <v>23.715999999999998</v>
      </c>
      <c r="G699" s="99">
        <v>0</v>
      </c>
      <c r="H699" s="98"/>
      <c r="I699" s="98"/>
      <c r="J699" s="104">
        <v>15.9</v>
      </c>
      <c r="K699" s="104">
        <v>12.7</v>
      </c>
      <c r="L699" s="105">
        <v>9.5</v>
      </c>
      <c r="M699" s="115">
        <f>78.4*4</f>
        <v>313.60000000000002</v>
      </c>
      <c r="N699" s="38"/>
      <c r="P699"/>
      <c r="Q699"/>
    </row>
    <row r="700" spans="2:17" ht="16.5" thickBot="1">
      <c r="B700" s="67" t="s">
        <v>1233</v>
      </c>
      <c r="C700" s="108"/>
      <c r="D700" s="108" t="s">
        <v>16</v>
      </c>
      <c r="E700" s="109">
        <v>0</v>
      </c>
      <c r="F700" s="110">
        <v>23.715999999999998</v>
      </c>
      <c r="G700" s="110">
        <v>0</v>
      </c>
      <c r="H700" s="109"/>
      <c r="I700" s="109"/>
      <c r="J700" s="111"/>
      <c r="K700" s="111"/>
      <c r="L700" s="112"/>
      <c r="M700" s="116"/>
      <c r="N700" s="38"/>
      <c r="P700"/>
      <c r="Q700"/>
    </row>
    <row r="701" spans="2:17">
      <c r="G701"/>
      <c r="N701" s="38"/>
      <c r="P701"/>
      <c r="Q701"/>
    </row>
    <row r="702" spans="2:17">
      <c r="G702"/>
      <c r="N702" s="38"/>
      <c r="P702"/>
      <c r="Q702"/>
    </row>
    <row r="703" spans="2:17">
      <c r="G703"/>
      <c r="N703" s="38"/>
      <c r="P703"/>
      <c r="Q703"/>
    </row>
    <row r="704" spans="2:17">
      <c r="G704"/>
      <c r="N704" s="38"/>
      <c r="P704"/>
      <c r="Q704"/>
    </row>
    <row r="705" spans="2:17">
      <c r="G705"/>
      <c r="N705" s="38"/>
      <c r="P705"/>
      <c r="Q705"/>
    </row>
    <row r="706" spans="2:17">
      <c r="G706"/>
      <c r="N706" s="14"/>
      <c r="P706"/>
      <c r="Q706"/>
    </row>
    <row r="707" spans="2:17">
      <c r="G707"/>
      <c r="N707" s="14"/>
      <c r="P707"/>
      <c r="Q707"/>
    </row>
    <row r="708" spans="2:17">
      <c r="G708"/>
      <c r="N708" s="14"/>
      <c r="P708"/>
      <c r="Q708"/>
    </row>
    <row r="709" spans="2:17">
      <c r="G709"/>
      <c r="N709" s="96"/>
      <c r="P709"/>
      <c r="Q709"/>
    </row>
    <row r="710" spans="2:17" ht="12.75" customHeight="1">
      <c r="B710" s="292"/>
      <c r="G710"/>
      <c r="P710"/>
      <c r="Q710"/>
    </row>
    <row r="711" spans="2:17" ht="13.5" customHeight="1">
      <c r="B711" s="293"/>
      <c r="G711"/>
      <c r="P711"/>
      <c r="Q711"/>
    </row>
    <row r="712" spans="2:17" ht="30" customHeight="1">
      <c r="D712" s="7" t="e">
        <f>+(#REF!/1.21)*2</f>
        <v>#REF!</v>
      </c>
      <c r="E712" s="8"/>
      <c r="G712"/>
      <c r="P712"/>
      <c r="Q712"/>
    </row>
    <row r="713" spans="2:17">
      <c r="D713" s="7" t="e">
        <f>+(#REF!/1.21)*2</f>
        <v>#REF!</v>
      </c>
      <c r="G713"/>
      <c r="P713"/>
      <c r="Q713"/>
    </row>
    <row r="714" spans="2:17">
      <c r="D714" s="7" t="e">
        <f>+(#REF!/1.21)*2</f>
        <v>#REF!</v>
      </c>
      <c r="G714"/>
      <c r="P714"/>
      <c r="Q714"/>
    </row>
    <row r="715" spans="2:17">
      <c r="D715" s="7" t="e">
        <f>+(#REF!/1.21)*2</f>
        <v>#REF!</v>
      </c>
      <c r="G715"/>
      <c r="P715"/>
      <c r="Q715"/>
    </row>
    <row r="716" spans="2:17">
      <c r="D716" s="7" t="e">
        <f>+(#REF!/1.21)*2</f>
        <v>#REF!</v>
      </c>
      <c r="E716" s="8"/>
      <c r="G716"/>
      <c r="P716"/>
      <c r="Q716"/>
    </row>
    <row r="717" spans="2:17">
      <c r="D717" s="7" t="e">
        <f>+(#REF!/1.21)*2</f>
        <v>#REF!</v>
      </c>
      <c r="E717" s="8"/>
      <c r="G717"/>
      <c r="P717"/>
      <c r="Q717"/>
    </row>
    <row r="718" spans="2:17">
      <c r="D718" s="7" t="e">
        <f>+(#REF!/1.21)*2</f>
        <v>#REF!</v>
      </c>
      <c r="E718" s="8"/>
      <c r="G718"/>
      <c r="P718"/>
      <c r="Q718"/>
    </row>
    <row r="719" spans="2:17">
      <c r="D719" s="7" t="e">
        <f>+(#REF!/1.21)*2</f>
        <v>#REF!</v>
      </c>
      <c r="E719" s="8"/>
      <c r="G719"/>
      <c r="P719"/>
      <c r="Q719"/>
    </row>
    <row r="720" spans="2:17">
      <c r="D720" s="7" t="e">
        <f>+(#REF!/1.21)*2</f>
        <v>#REF!</v>
      </c>
      <c r="E720" s="8"/>
      <c r="G720"/>
      <c r="P720"/>
      <c r="Q720"/>
    </row>
    <row r="721" spans="4:17">
      <c r="D721" s="7" t="e">
        <f>+(#REF!/1.21)*2</f>
        <v>#REF!</v>
      </c>
      <c r="E721" s="8"/>
      <c r="G721"/>
      <c r="P721"/>
      <c r="Q721"/>
    </row>
    <row r="722" spans="4:17">
      <c r="D722" s="7" t="e">
        <f>+(#REF!/1.21)*2</f>
        <v>#REF!</v>
      </c>
      <c r="E722" s="8"/>
      <c r="G722"/>
      <c r="P722"/>
      <c r="Q722"/>
    </row>
    <row r="723" spans="4:17">
      <c r="D723" s="7" t="e">
        <f>+(#REF!/1.21)*2</f>
        <v>#REF!</v>
      </c>
      <c r="E723" s="8"/>
      <c r="G723"/>
      <c r="P723"/>
      <c r="Q723"/>
    </row>
    <row r="724" spans="4:17">
      <c r="D724" s="7" t="e">
        <f>+(#REF!/1.21)*2</f>
        <v>#REF!</v>
      </c>
      <c r="E724" s="8"/>
      <c r="G724"/>
      <c r="P724"/>
      <c r="Q724"/>
    </row>
    <row r="725" spans="4:17">
      <c r="D725" s="7" t="e">
        <f>+(#REF!/1.21)*2</f>
        <v>#REF!</v>
      </c>
      <c r="E725" s="8"/>
      <c r="G725"/>
      <c r="P725"/>
      <c r="Q725"/>
    </row>
    <row r="726" spans="4:17">
      <c r="D726" s="7" t="e">
        <f>+(#REF!/1.21)*2</f>
        <v>#REF!</v>
      </c>
      <c r="E726" s="8"/>
      <c r="G726"/>
      <c r="P726"/>
      <c r="Q726"/>
    </row>
    <row r="727" spans="4:17">
      <c r="D727" s="7" t="e">
        <f>+(#REF!/1.21)*2</f>
        <v>#REF!</v>
      </c>
      <c r="E727" s="8"/>
      <c r="G727"/>
      <c r="P727"/>
      <c r="Q727"/>
    </row>
    <row r="728" spans="4:17">
      <c r="D728" s="7" t="e">
        <f>+(#REF!/1.21)*2</f>
        <v>#REF!</v>
      </c>
      <c r="E728" s="8"/>
      <c r="G728"/>
      <c r="P728"/>
      <c r="Q728"/>
    </row>
    <row r="729" spans="4:17">
      <c r="D729" s="7" t="e">
        <f>+(#REF!/1.21)*2</f>
        <v>#REF!</v>
      </c>
      <c r="E729" s="8"/>
      <c r="G729"/>
      <c r="P729"/>
      <c r="Q729"/>
    </row>
    <row r="730" spans="4:17">
      <c r="D730" s="7" t="e">
        <f>+(#REF!/1.21)*2</f>
        <v>#REF!</v>
      </c>
      <c r="E730" s="8"/>
      <c r="G730"/>
      <c r="P730"/>
      <c r="Q730"/>
    </row>
    <row r="731" spans="4:17">
      <c r="D731" s="7" t="e">
        <f>+(#REF!/1.21)*2</f>
        <v>#REF!</v>
      </c>
      <c r="E731" s="8"/>
      <c r="G731"/>
      <c r="P731"/>
      <c r="Q731"/>
    </row>
    <row r="732" spans="4:17">
      <c r="D732" s="7" t="e">
        <f>+(#REF!/1.21)*2</f>
        <v>#REF!</v>
      </c>
      <c r="E732" s="8"/>
      <c r="G732"/>
      <c r="P732"/>
      <c r="Q732"/>
    </row>
    <row r="733" spans="4:17">
      <c r="D733" s="7" t="e">
        <f>+(#REF!/1.21)*2</f>
        <v>#REF!</v>
      </c>
      <c r="E733" s="8"/>
      <c r="G733"/>
      <c r="P733"/>
      <c r="Q733"/>
    </row>
    <row r="734" spans="4:17">
      <c r="D734" s="7" t="e">
        <f>+(#REF!/1.21)*2</f>
        <v>#REF!</v>
      </c>
      <c r="E734" s="8"/>
      <c r="G734"/>
      <c r="P734"/>
      <c r="Q734"/>
    </row>
    <row r="735" spans="4:17">
      <c r="D735" s="7" t="e">
        <f>+(#REF!/1.21)*2</f>
        <v>#REF!</v>
      </c>
      <c r="E735" s="8"/>
      <c r="G735"/>
      <c r="P735"/>
      <c r="Q735"/>
    </row>
    <row r="736" spans="4:17">
      <c r="D736" s="7" t="e">
        <f>+(#REF!/1.21)*2</f>
        <v>#REF!</v>
      </c>
      <c r="E736" s="8"/>
      <c r="G736"/>
      <c r="P736"/>
      <c r="Q736"/>
    </row>
    <row r="737" spans="4:17">
      <c r="D737" s="7" t="e">
        <f>+(#REF!/1.21)*2</f>
        <v>#REF!</v>
      </c>
      <c r="E737" s="8"/>
      <c r="G737"/>
      <c r="P737"/>
      <c r="Q737"/>
    </row>
    <row r="738" spans="4:17">
      <c r="D738" s="7" t="e">
        <f>+(#REF!/1.21)*2</f>
        <v>#REF!</v>
      </c>
      <c r="E738" s="8"/>
      <c r="G738"/>
      <c r="P738"/>
      <c r="Q738"/>
    </row>
    <row r="739" spans="4:17">
      <c r="D739" s="7" t="e">
        <f>+(#REF!/1.21)*2</f>
        <v>#REF!</v>
      </c>
      <c r="E739" s="8"/>
      <c r="G739"/>
      <c r="P739"/>
      <c r="Q739"/>
    </row>
    <row r="740" spans="4:17">
      <c r="D740" s="7" t="e">
        <f>+(#REF!/1.21)*2</f>
        <v>#REF!</v>
      </c>
      <c r="E740" s="8"/>
      <c r="G740"/>
      <c r="P740"/>
      <c r="Q740"/>
    </row>
    <row r="741" spans="4:17">
      <c r="D741" s="7" t="e">
        <f>+(#REF!/1.21)*2</f>
        <v>#REF!</v>
      </c>
      <c r="E741" s="8"/>
      <c r="G741"/>
      <c r="P741"/>
      <c r="Q741"/>
    </row>
    <row r="742" spans="4:17">
      <c r="D742" s="7" t="e">
        <f>+(#REF!/1.21)*2</f>
        <v>#REF!</v>
      </c>
      <c r="E742" s="8"/>
      <c r="G742"/>
      <c r="P742"/>
      <c r="Q742"/>
    </row>
    <row r="743" spans="4:17">
      <c r="D743" s="7" t="e">
        <f>+(#REF!/1.21)*2</f>
        <v>#REF!</v>
      </c>
      <c r="E743" s="8"/>
      <c r="G743"/>
      <c r="P743"/>
      <c r="Q743"/>
    </row>
    <row r="744" spans="4:17">
      <c r="D744" s="7" t="e">
        <f>+(#REF!/1.21)*2</f>
        <v>#REF!</v>
      </c>
      <c r="E744" s="8"/>
      <c r="G744"/>
      <c r="P744"/>
      <c r="Q744"/>
    </row>
    <row r="745" spans="4:17">
      <c r="D745" s="7" t="e">
        <f>+(#REF!/1.21)*2</f>
        <v>#REF!</v>
      </c>
      <c r="E745" s="8"/>
      <c r="G745"/>
      <c r="P745"/>
      <c r="Q745"/>
    </row>
    <row r="746" spans="4:17">
      <c r="D746" s="7" t="e">
        <f>+(#REF!/1.21)*2</f>
        <v>#REF!</v>
      </c>
      <c r="E746" s="8"/>
      <c r="G746"/>
      <c r="P746"/>
      <c r="Q746"/>
    </row>
    <row r="747" spans="4:17">
      <c r="D747" s="7" t="e">
        <f>+(#REF!/1.21)*2</f>
        <v>#REF!</v>
      </c>
      <c r="E747" s="8"/>
      <c r="G747"/>
      <c r="P747"/>
      <c r="Q747"/>
    </row>
    <row r="748" spans="4:17">
      <c r="D748" s="7" t="e">
        <f>+(#REF!/1.21)*2</f>
        <v>#REF!</v>
      </c>
      <c r="E748" s="8"/>
      <c r="G748"/>
      <c r="P748"/>
      <c r="Q748"/>
    </row>
    <row r="749" spans="4:17">
      <c r="D749" s="7" t="e">
        <f>+(#REF!/1.21)*2</f>
        <v>#REF!</v>
      </c>
      <c r="E749" s="8"/>
      <c r="G749"/>
      <c r="P749"/>
      <c r="Q749"/>
    </row>
    <row r="750" spans="4:17">
      <c r="D750" s="7" t="e">
        <f>+(#REF!/1.21)*2</f>
        <v>#REF!</v>
      </c>
      <c r="E750" s="8"/>
      <c r="G750"/>
      <c r="P750"/>
      <c r="Q750"/>
    </row>
    <row r="751" spans="4:17">
      <c r="D751" s="7" t="e">
        <f>+(#REF!/1.21)*2</f>
        <v>#REF!</v>
      </c>
      <c r="E751" s="8"/>
      <c r="G751"/>
      <c r="P751"/>
      <c r="Q751"/>
    </row>
    <row r="752" spans="4:17">
      <c r="D752" s="7" t="e">
        <f>+(#REF!/1.21)*2</f>
        <v>#REF!</v>
      </c>
      <c r="E752" s="8"/>
      <c r="G752"/>
      <c r="P752"/>
      <c r="Q752"/>
    </row>
    <row r="753" spans="4:17">
      <c r="D753" s="7" t="e">
        <f>+(#REF!/1.21)*2</f>
        <v>#REF!</v>
      </c>
      <c r="E753" s="8"/>
      <c r="G753"/>
      <c r="P753"/>
      <c r="Q753"/>
    </row>
    <row r="754" spans="4:17">
      <c r="D754" s="7" t="e">
        <f>+(#REF!/1.21)*2</f>
        <v>#REF!</v>
      </c>
      <c r="E754" s="8"/>
      <c r="G754"/>
      <c r="P754"/>
      <c r="Q754"/>
    </row>
    <row r="755" spans="4:17">
      <c r="D755" s="7" t="e">
        <f>+(#REF!/1.21)*2</f>
        <v>#REF!</v>
      </c>
      <c r="E755" s="8"/>
      <c r="G755"/>
      <c r="P755"/>
      <c r="Q755"/>
    </row>
    <row r="756" spans="4:17">
      <c r="D756" s="7" t="e">
        <f>+(#REF!/1.21)*2</f>
        <v>#REF!</v>
      </c>
      <c r="E756" s="8"/>
      <c r="G756"/>
      <c r="P756"/>
      <c r="Q756"/>
    </row>
    <row r="757" spans="4:17">
      <c r="D757" s="7" t="e">
        <f>+(#REF!/1.21)*2</f>
        <v>#REF!</v>
      </c>
      <c r="E757" s="8"/>
      <c r="G757"/>
      <c r="P757"/>
      <c r="Q757"/>
    </row>
    <row r="758" spans="4:17">
      <c r="D758" s="7" t="e">
        <f>+(#REF!/1.21)*2</f>
        <v>#REF!</v>
      </c>
      <c r="E758" s="8"/>
      <c r="G758"/>
      <c r="P758"/>
      <c r="Q758"/>
    </row>
    <row r="759" spans="4:17">
      <c r="D759" s="7" t="e">
        <f>+(#REF!/1.21)*2</f>
        <v>#REF!</v>
      </c>
      <c r="E759" s="8"/>
      <c r="G759"/>
      <c r="P759"/>
      <c r="Q759"/>
    </row>
    <row r="760" spans="4:17">
      <c r="D760" s="7" t="e">
        <f>+(#REF!/1.21)*2</f>
        <v>#REF!</v>
      </c>
      <c r="E760" s="8"/>
      <c r="G760"/>
      <c r="P760"/>
      <c r="Q760"/>
    </row>
    <row r="761" spans="4:17">
      <c r="D761" s="7" t="e">
        <f>+(#REF!/1.21)*2</f>
        <v>#REF!</v>
      </c>
      <c r="E761" s="8"/>
      <c r="G761"/>
      <c r="P761"/>
      <c r="Q761"/>
    </row>
    <row r="762" spans="4:17">
      <c r="D762" s="7" t="e">
        <f>+(#REF!/1.21)*2</f>
        <v>#REF!</v>
      </c>
      <c r="E762" s="8"/>
      <c r="G762"/>
      <c r="P762"/>
      <c r="Q762"/>
    </row>
    <row r="763" spans="4:17">
      <c r="D763" s="7" t="e">
        <f>+(#REF!/1.21)*2</f>
        <v>#REF!</v>
      </c>
      <c r="E763" s="8"/>
      <c r="G763"/>
      <c r="P763"/>
      <c r="Q763"/>
    </row>
    <row r="764" spans="4:17">
      <c r="D764" s="7" t="e">
        <f>+(#REF!/1.21)*2</f>
        <v>#REF!</v>
      </c>
      <c r="E764" s="8"/>
      <c r="G764"/>
      <c r="P764"/>
      <c r="Q764"/>
    </row>
    <row r="765" spans="4:17">
      <c r="D765" s="7" t="e">
        <f>+(#REF!/1.21)*2</f>
        <v>#REF!</v>
      </c>
      <c r="E765" s="8"/>
      <c r="G765"/>
      <c r="P765"/>
      <c r="Q765"/>
    </row>
    <row r="766" spans="4:17">
      <c r="D766" s="7" t="e">
        <f>+(#REF!/1.21)*2</f>
        <v>#REF!</v>
      </c>
      <c r="E766" s="8"/>
      <c r="G766"/>
      <c r="P766"/>
      <c r="Q766"/>
    </row>
    <row r="767" spans="4:17">
      <c r="D767" s="7" t="e">
        <f>+(#REF!/1.21)*2</f>
        <v>#REF!</v>
      </c>
      <c r="E767" s="8"/>
      <c r="G767"/>
      <c r="P767"/>
      <c r="Q767"/>
    </row>
    <row r="768" spans="4:17">
      <c r="D768" s="7" t="e">
        <f>+(#REF!/1.21)*2</f>
        <v>#REF!</v>
      </c>
      <c r="E768" s="8"/>
      <c r="G768"/>
      <c r="P768"/>
      <c r="Q768"/>
    </row>
    <row r="769" spans="4:17">
      <c r="D769" s="7" t="e">
        <f>+(#REF!/1.21)*2</f>
        <v>#REF!</v>
      </c>
      <c r="E769" s="8"/>
      <c r="G769"/>
      <c r="P769"/>
      <c r="Q769"/>
    </row>
    <row r="770" spans="4:17">
      <c r="D770" s="7" t="e">
        <f>+(#REF!/1.21)*2</f>
        <v>#REF!</v>
      </c>
      <c r="E770" s="8"/>
      <c r="G770"/>
      <c r="P770"/>
      <c r="Q770"/>
    </row>
    <row r="771" spans="4:17">
      <c r="D771" s="7" t="e">
        <f>+(#REF!/1.21)*2</f>
        <v>#REF!</v>
      </c>
      <c r="E771" s="8"/>
      <c r="G771"/>
      <c r="P771"/>
      <c r="Q771"/>
    </row>
    <row r="772" spans="4:17">
      <c r="D772" s="7" t="e">
        <f>+(#REF!/1.21)*2</f>
        <v>#REF!</v>
      </c>
      <c r="E772" s="8"/>
      <c r="G772"/>
      <c r="P772"/>
      <c r="Q772"/>
    </row>
    <row r="773" spans="4:17">
      <c r="D773" s="7" t="e">
        <f>+(#REF!/1.21)*2</f>
        <v>#REF!</v>
      </c>
      <c r="E773" s="8"/>
      <c r="G773"/>
      <c r="P773"/>
      <c r="Q773"/>
    </row>
    <row r="774" spans="4:17">
      <c r="D774" s="7" t="e">
        <f>+(#REF!/1.21)*2</f>
        <v>#REF!</v>
      </c>
      <c r="E774" s="8"/>
      <c r="G774"/>
      <c r="P774"/>
      <c r="Q774"/>
    </row>
    <row r="775" spans="4:17">
      <c r="D775" s="7" t="e">
        <f>+(#REF!/1.21)*2</f>
        <v>#REF!</v>
      </c>
      <c r="E775" s="8"/>
      <c r="G775"/>
      <c r="P775"/>
      <c r="Q775"/>
    </row>
    <row r="776" spans="4:17">
      <c r="D776" s="7" t="e">
        <f>+(#REF!/1.21)*2</f>
        <v>#REF!</v>
      </c>
      <c r="E776" s="8"/>
      <c r="G776"/>
      <c r="P776"/>
      <c r="Q776"/>
    </row>
    <row r="777" spans="4:17">
      <c r="D777" s="7" t="e">
        <f>+(#REF!/1.21)*2</f>
        <v>#REF!</v>
      </c>
      <c r="E777" s="8"/>
      <c r="G777"/>
      <c r="P777"/>
      <c r="Q777"/>
    </row>
    <row r="778" spans="4:17">
      <c r="D778" s="7" t="e">
        <f>+(#REF!/1.21)*2</f>
        <v>#REF!</v>
      </c>
      <c r="E778" s="8"/>
      <c r="G778"/>
      <c r="P778"/>
      <c r="Q778"/>
    </row>
    <row r="779" spans="4:17">
      <c r="D779" s="7" t="e">
        <f>+(#REF!/1.21)*2</f>
        <v>#REF!</v>
      </c>
      <c r="E779" s="8"/>
      <c r="G779"/>
      <c r="P779"/>
      <c r="Q779"/>
    </row>
    <row r="780" spans="4:17">
      <c r="D780" s="7" t="e">
        <f>+(#REF!/1.21)*2</f>
        <v>#REF!</v>
      </c>
      <c r="E780" s="8"/>
      <c r="G780"/>
      <c r="P780"/>
      <c r="Q780"/>
    </row>
    <row r="781" spans="4:17">
      <c r="D781" s="7" t="e">
        <f>+(#REF!/1.21)*2</f>
        <v>#REF!</v>
      </c>
      <c r="E781" s="8"/>
      <c r="G781"/>
      <c r="P781"/>
      <c r="Q781"/>
    </row>
    <row r="782" spans="4:17">
      <c r="D782" s="7" t="e">
        <f>+(#REF!/1.21)*2</f>
        <v>#REF!</v>
      </c>
      <c r="E782" s="8"/>
      <c r="G782"/>
      <c r="P782"/>
      <c r="Q782"/>
    </row>
    <row r="783" spans="4:17">
      <c r="D783" s="7" t="e">
        <f>+(#REF!/1.21)*2</f>
        <v>#REF!</v>
      </c>
      <c r="E783" s="8"/>
      <c r="G783"/>
      <c r="P783"/>
      <c r="Q783"/>
    </row>
    <row r="784" spans="4:17">
      <c r="D784" s="7" t="e">
        <f>+(#REF!/1.21)*2</f>
        <v>#REF!</v>
      </c>
      <c r="E784" s="8"/>
      <c r="G784"/>
      <c r="P784"/>
      <c r="Q784"/>
    </row>
    <row r="785" spans="4:17">
      <c r="D785" s="7" t="e">
        <f>+(#REF!/1.21)*2</f>
        <v>#REF!</v>
      </c>
      <c r="E785" s="8"/>
      <c r="G785"/>
      <c r="P785"/>
      <c r="Q785"/>
    </row>
    <row r="786" spans="4:17">
      <c r="D786" s="7" t="e">
        <f>+(#REF!/1.21)*2</f>
        <v>#REF!</v>
      </c>
      <c r="E786" s="8"/>
      <c r="G786"/>
      <c r="P786"/>
      <c r="Q786"/>
    </row>
    <row r="787" spans="4:17">
      <c r="D787" s="7" t="e">
        <f>+(#REF!/1.21)*2</f>
        <v>#REF!</v>
      </c>
      <c r="E787" s="8"/>
      <c r="G787"/>
      <c r="P787"/>
      <c r="Q787"/>
    </row>
    <row r="788" spans="4:17">
      <c r="D788" s="7" t="e">
        <f>+(#REF!/1.21)*2</f>
        <v>#REF!</v>
      </c>
      <c r="E788" s="8"/>
      <c r="G788"/>
      <c r="P788"/>
      <c r="Q788"/>
    </row>
    <row r="789" spans="4:17">
      <c r="D789" s="7" t="e">
        <f>+(#REF!/1.21)*2</f>
        <v>#REF!</v>
      </c>
      <c r="E789" s="8"/>
      <c r="G789"/>
      <c r="P789"/>
      <c r="Q789"/>
    </row>
    <row r="790" spans="4:17">
      <c r="D790" s="7" t="e">
        <f>+(#REF!/1.21)*2</f>
        <v>#REF!</v>
      </c>
      <c r="E790" s="8"/>
      <c r="G790"/>
      <c r="P790"/>
      <c r="Q790"/>
    </row>
    <row r="791" spans="4:17">
      <c r="D791" s="7" t="e">
        <f>+(#REF!/1.21)*2</f>
        <v>#REF!</v>
      </c>
      <c r="E791" s="8"/>
      <c r="G791"/>
      <c r="P791"/>
      <c r="Q791"/>
    </row>
    <row r="792" spans="4:17">
      <c r="D792" s="7" t="e">
        <f>+(#REF!/1.21)*2</f>
        <v>#REF!</v>
      </c>
      <c r="E792" s="8"/>
      <c r="G792"/>
      <c r="P792"/>
      <c r="Q792"/>
    </row>
    <row r="793" spans="4:17">
      <c r="D793" s="7" t="e">
        <f>+(#REF!/1.21)*2</f>
        <v>#REF!</v>
      </c>
      <c r="E793" s="8"/>
      <c r="G793"/>
      <c r="P793"/>
      <c r="Q793"/>
    </row>
    <row r="794" spans="4:17">
      <c r="D794" s="7" t="e">
        <f>+(#REF!/1.21)*2</f>
        <v>#REF!</v>
      </c>
      <c r="E794" s="8"/>
      <c r="G794"/>
      <c r="P794"/>
      <c r="Q794"/>
    </row>
    <row r="795" spans="4:17">
      <c r="D795" s="7" t="e">
        <f>+(#REF!/1.21)*2</f>
        <v>#REF!</v>
      </c>
      <c r="E795" s="8"/>
      <c r="G795"/>
      <c r="P795"/>
      <c r="Q795"/>
    </row>
    <row r="796" spans="4:17">
      <c r="D796" s="7" t="e">
        <f>+(#REF!/1.21)*2</f>
        <v>#REF!</v>
      </c>
      <c r="E796" s="8"/>
      <c r="G796"/>
      <c r="P796"/>
      <c r="Q796"/>
    </row>
    <row r="797" spans="4:17">
      <c r="D797" s="7" t="e">
        <f>+(#REF!/1.21)*2</f>
        <v>#REF!</v>
      </c>
      <c r="E797" s="8"/>
      <c r="G797"/>
      <c r="P797"/>
      <c r="Q797"/>
    </row>
    <row r="798" spans="4:17">
      <c r="D798" s="7" t="e">
        <f>+(#REF!/1.21)*2</f>
        <v>#REF!</v>
      </c>
      <c r="E798" s="8"/>
      <c r="G798"/>
      <c r="P798"/>
      <c r="Q798"/>
    </row>
    <row r="799" spans="4:17">
      <c r="D799" s="7" t="e">
        <f>+(#REF!/1.21)*2</f>
        <v>#REF!</v>
      </c>
      <c r="E799" s="8"/>
      <c r="G799"/>
      <c r="P799"/>
      <c r="Q799"/>
    </row>
    <row r="800" spans="4:17">
      <c r="D800" s="7" t="e">
        <f>+(#REF!/1.21)*2</f>
        <v>#REF!</v>
      </c>
      <c r="E800" s="8"/>
      <c r="G800"/>
      <c r="P800"/>
      <c r="Q800"/>
    </row>
    <row r="801" spans="4:17">
      <c r="D801" s="7" t="e">
        <f>+(#REF!/1.21)*2</f>
        <v>#REF!</v>
      </c>
      <c r="E801" s="8"/>
      <c r="G801"/>
      <c r="P801"/>
      <c r="Q801"/>
    </row>
    <row r="802" spans="4:17">
      <c r="D802" s="7" t="e">
        <f>+(#REF!/1.21)*2</f>
        <v>#REF!</v>
      </c>
      <c r="E802" s="8"/>
      <c r="G802"/>
      <c r="P802"/>
      <c r="Q802"/>
    </row>
    <row r="803" spans="4:17">
      <c r="D803" s="7" t="e">
        <f>+(#REF!/1.21)*2</f>
        <v>#REF!</v>
      </c>
      <c r="E803" s="8"/>
      <c r="G803"/>
      <c r="P803"/>
      <c r="Q803"/>
    </row>
    <row r="804" spans="4:17">
      <c r="D804" s="7" t="e">
        <f>+(#REF!/1.21)*2</f>
        <v>#REF!</v>
      </c>
      <c r="E804" s="8"/>
      <c r="G804"/>
      <c r="P804"/>
      <c r="Q804"/>
    </row>
    <row r="805" spans="4:17">
      <c r="D805" s="7" t="e">
        <f>+(#REF!/1.21)*2</f>
        <v>#REF!</v>
      </c>
      <c r="E805" s="8"/>
      <c r="G805"/>
      <c r="P805"/>
      <c r="Q805"/>
    </row>
    <row r="806" spans="4:17">
      <c r="D806" s="7" t="e">
        <f>+(#REF!/1.21)*2</f>
        <v>#REF!</v>
      </c>
      <c r="E806" s="8"/>
      <c r="G806"/>
      <c r="P806"/>
      <c r="Q806"/>
    </row>
    <row r="807" spans="4:17">
      <c r="D807" s="7" t="e">
        <f>+(#REF!/1.21)*2</f>
        <v>#REF!</v>
      </c>
      <c r="E807" s="8"/>
      <c r="G807"/>
      <c r="P807"/>
      <c r="Q807"/>
    </row>
    <row r="808" spans="4:17">
      <c r="D808" s="7" t="e">
        <f>+(#REF!/1.21)*2</f>
        <v>#REF!</v>
      </c>
      <c r="E808" s="8"/>
      <c r="G808"/>
      <c r="P808"/>
      <c r="Q808"/>
    </row>
    <row r="809" spans="4:17">
      <c r="D809" s="7" t="e">
        <f>+(#REF!/1.21)*2</f>
        <v>#REF!</v>
      </c>
      <c r="E809" s="8"/>
      <c r="G809"/>
      <c r="P809"/>
      <c r="Q809"/>
    </row>
    <row r="810" spans="4:17">
      <c r="D810" s="7" t="e">
        <f>+(#REF!/1.21)*2</f>
        <v>#REF!</v>
      </c>
      <c r="E810" s="8"/>
      <c r="G810"/>
      <c r="P810"/>
      <c r="Q810"/>
    </row>
    <row r="811" spans="4:17">
      <c r="D811" s="7" t="e">
        <f>+(#REF!/1.21)*2</f>
        <v>#REF!</v>
      </c>
      <c r="E811" s="8"/>
      <c r="G811"/>
      <c r="P811"/>
      <c r="Q811"/>
    </row>
    <row r="812" spans="4:17">
      <c r="D812" s="7" t="e">
        <f>+(#REF!/1.21)*2</f>
        <v>#REF!</v>
      </c>
      <c r="E812" s="8"/>
      <c r="G812"/>
      <c r="P812"/>
      <c r="Q812"/>
    </row>
    <row r="813" spans="4:17">
      <c r="D813" s="7" t="e">
        <f>+(#REF!/1.21)*2</f>
        <v>#REF!</v>
      </c>
      <c r="E813" s="8"/>
      <c r="G813"/>
      <c r="P813"/>
      <c r="Q813"/>
    </row>
    <row r="814" spans="4:17">
      <c r="D814" s="7" t="e">
        <f>+(#REF!/1.21)*2</f>
        <v>#REF!</v>
      </c>
      <c r="E814" s="8"/>
      <c r="G814"/>
      <c r="P814"/>
      <c r="Q814"/>
    </row>
    <row r="815" spans="4:17">
      <c r="D815" s="7" t="e">
        <f>+(#REF!/1.21)*2</f>
        <v>#REF!</v>
      </c>
      <c r="E815" s="8"/>
      <c r="G815"/>
      <c r="P815"/>
      <c r="Q815"/>
    </row>
    <row r="816" spans="4:17">
      <c r="D816" s="7" t="e">
        <f>+(#REF!/1.21)*2</f>
        <v>#REF!</v>
      </c>
      <c r="E816" s="8"/>
      <c r="G816"/>
      <c r="P816"/>
      <c r="Q816"/>
    </row>
    <row r="817" spans="4:17">
      <c r="D817" s="7" t="e">
        <f>+(#REF!/1.21)*2</f>
        <v>#REF!</v>
      </c>
      <c r="E817" s="8"/>
      <c r="G817"/>
      <c r="P817"/>
      <c r="Q817"/>
    </row>
    <row r="818" spans="4:17">
      <c r="D818" s="7" t="e">
        <f>+(#REF!/1.21)*2</f>
        <v>#REF!</v>
      </c>
      <c r="E818" s="8"/>
      <c r="G818"/>
      <c r="P818"/>
      <c r="Q818"/>
    </row>
    <row r="819" spans="4:17">
      <c r="D819" s="7" t="e">
        <f>+(#REF!/1.21)*2</f>
        <v>#REF!</v>
      </c>
      <c r="E819" s="8"/>
      <c r="G819"/>
      <c r="P819"/>
      <c r="Q819"/>
    </row>
    <row r="820" spans="4:17">
      <c r="D820" s="7" t="e">
        <f>+(#REF!/1.21)*2</f>
        <v>#REF!</v>
      </c>
      <c r="E820" s="8"/>
      <c r="G820"/>
      <c r="P820"/>
      <c r="Q820"/>
    </row>
    <row r="821" spans="4:17">
      <c r="D821" s="7" t="e">
        <f>+(#REF!/1.21)*2</f>
        <v>#REF!</v>
      </c>
      <c r="E821" s="8"/>
      <c r="G821"/>
      <c r="P821"/>
      <c r="Q821"/>
    </row>
    <row r="822" spans="4:17">
      <c r="D822" s="7" t="e">
        <f>+(#REF!/1.21)*2</f>
        <v>#REF!</v>
      </c>
      <c r="E822" s="8"/>
      <c r="G822"/>
      <c r="P822"/>
      <c r="Q822"/>
    </row>
    <row r="823" spans="4:17">
      <c r="D823" s="7" t="e">
        <f>+(#REF!/1.21)*2</f>
        <v>#REF!</v>
      </c>
      <c r="E823" s="8"/>
      <c r="G823"/>
      <c r="P823"/>
      <c r="Q823"/>
    </row>
    <row r="824" spans="4:17">
      <c r="D824" s="7" t="e">
        <f>+(#REF!/1.21)*2</f>
        <v>#REF!</v>
      </c>
      <c r="E824" s="8"/>
      <c r="G824"/>
      <c r="P824"/>
      <c r="Q824"/>
    </row>
    <row r="825" spans="4:17">
      <c r="D825" s="7" t="e">
        <f>+(#REF!/1.21)*2</f>
        <v>#REF!</v>
      </c>
      <c r="E825" s="8"/>
      <c r="G825"/>
      <c r="P825"/>
      <c r="Q825"/>
    </row>
    <row r="826" spans="4:17">
      <c r="D826" s="7" t="e">
        <f>+(#REF!/1.21)*2</f>
        <v>#REF!</v>
      </c>
      <c r="E826" s="8"/>
      <c r="G826"/>
      <c r="P826"/>
      <c r="Q826"/>
    </row>
    <row r="827" spans="4:17">
      <c r="D827" s="7" t="e">
        <f>+(#REF!/1.21)*2</f>
        <v>#REF!</v>
      </c>
      <c r="E827" s="8"/>
      <c r="G827"/>
      <c r="P827"/>
      <c r="Q827"/>
    </row>
    <row r="828" spans="4:17">
      <c r="D828" s="7" t="e">
        <f>+(#REF!/1.21)*2</f>
        <v>#REF!</v>
      </c>
      <c r="E828" s="8"/>
      <c r="G828"/>
      <c r="P828"/>
      <c r="Q828"/>
    </row>
    <row r="829" spans="4:17">
      <c r="D829" s="7" t="e">
        <f>+(#REF!/1.21)*2</f>
        <v>#REF!</v>
      </c>
      <c r="E829" s="8"/>
      <c r="G829"/>
      <c r="P829"/>
      <c r="Q829"/>
    </row>
    <row r="830" spans="4:17">
      <c r="D830" s="7" t="e">
        <f>+(#REF!/1.21)*2</f>
        <v>#REF!</v>
      </c>
      <c r="E830" s="8"/>
      <c r="G830"/>
      <c r="P830"/>
      <c r="Q830"/>
    </row>
    <row r="831" spans="4:17">
      <c r="D831" s="7" t="e">
        <f>+(#REF!/1.21)*2</f>
        <v>#REF!</v>
      </c>
      <c r="E831" s="8"/>
      <c r="G831"/>
      <c r="P831"/>
      <c r="Q831"/>
    </row>
    <row r="832" spans="4:17">
      <c r="D832" s="7" t="e">
        <f>+(#REF!/1.21)*2</f>
        <v>#REF!</v>
      </c>
      <c r="E832" s="8"/>
      <c r="G832"/>
      <c r="P832"/>
      <c r="Q832"/>
    </row>
    <row r="833" spans="4:17">
      <c r="D833" s="7" t="e">
        <f>+(#REF!/1.21)*2</f>
        <v>#REF!</v>
      </c>
      <c r="E833" s="8"/>
      <c r="G833"/>
      <c r="P833"/>
      <c r="Q833"/>
    </row>
    <row r="834" spans="4:17">
      <c r="D834" s="7" t="e">
        <f>+(#REF!/1.21)*2</f>
        <v>#REF!</v>
      </c>
      <c r="E834" s="8"/>
      <c r="G834"/>
      <c r="P834"/>
      <c r="Q834"/>
    </row>
    <row r="835" spans="4:17">
      <c r="D835" s="7" t="e">
        <f>+(#REF!/1.21)*2</f>
        <v>#REF!</v>
      </c>
      <c r="E835" s="8"/>
      <c r="G835"/>
      <c r="P835"/>
      <c r="Q835"/>
    </row>
    <row r="836" spans="4:17">
      <c r="D836" s="7" t="e">
        <f>+(#REF!/1.21)*2</f>
        <v>#REF!</v>
      </c>
      <c r="E836" s="8"/>
      <c r="G836"/>
      <c r="P836"/>
      <c r="Q836"/>
    </row>
    <row r="837" spans="4:17">
      <c r="D837" s="7" t="e">
        <f>+(#REF!/1.21)*2</f>
        <v>#REF!</v>
      </c>
      <c r="E837" s="8"/>
      <c r="G837"/>
      <c r="P837"/>
      <c r="Q837"/>
    </row>
    <row r="838" spans="4:17">
      <c r="D838" s="7" t="e">
        <f>+(#REF!/1.21)*2</f>
        <v>#REF!</v>
      </c>
      <c r="E838" s="8"/>
      <c r="G838"/>
      <c r="P838"/>
      <c r="Q838"/>
    </row>
    <row r="839" spans="4:17">
      <c r="D839" s="7" t="e">
        <f>+(#REF!/1.21)*2</f>
        <v>#REF!</v>
      </c>
      <c r="E839" s="8"/>
      <c r="G839"/>
      <c r="P839"/>
      <c r="Q839"/>
    </row>
    <row r="840" spans="4:17">
      <c r="D840" s="7" t="e">
        <f>+(#REF!/1.21)*2</f>
        <v>#REF!</v>
      </c>
      <c r="E840" s="8"/>
      <c r="G840"/>
      <c r="P840"/>
      <c r="Q840"/>
    </row>
    <row r="841" spans="4:17">
      <c r="D841" s="7" t="e">
        <f>+(#REF!/1.21)*2</f>
        <v>#REF!</v>
      </c>
      <c r="E841" s="8"/>
      <c r="G841"/>
      <c r="P841"/>
      <c r="Q841"/>
    </row>
    <row r="842" spans="4:17">
      <c r="D842" s="7" t="e">
        <f>+(#REF!/1.21)*2</f>
        <v>#REF!</v>
      </c>
      <c r="E842" s="8"/>
      <c r="G842"/>
      <c r="P842"/>
      <c r="Q842"/>
    </row>
    <row r="843" spans="4:17">
      <c r="D843" s="7" t="e">
        <f>+(#REF!/1.21)*2</f>
        <v>#REF!</v>
      </c>
      <c r="E843" s="8"/>
      <c r="G843"/>
      <c r="P843"/>
      <c r="Q843"/>
    </row>
    <row r="844" spans="4:17">
      <c r="D844" s="7" t="e">
        <f>+(#REF!/1.21)*2</f>
        <v>#REF!</v>
      </c>
      <c r="E844" s="8"/>
      <c r="G844"/>
      <c r="P844"/>
      <c r="Q844"/>
    </row>
    <row r="845" spans="4:17">
      <c r="D845" s="7" t="e">
        <f>+(#REF!/1.21)*2</f>
        <v>#REF!</v>
      </c>
      <c r="E845" s="8"/>
      <c r="G845"/>
      <c r="P845"/>
      <c r="Q845"/>
    </row>
    <row r="846" spans="4:17">
      <c r="D846" s="7" t="e">
        <f>+(#REF!/1.21)*2</f>
        <v>#REF!</v>
      </c>
      <c r="E846" s="8"/>
      <c r="G846"/>
      <c r="P846"/>
      <c r="Q846"/>
    </row>
    <row r="847" spans="4:17">
      <c r="D847" s="7" t="e">
        <f>+(#REF!/1.21)*2</f>
        <v>#REF!</v>
      </c>
      <c r="E847" s="8"/>
      <c r="G847"/>
      <c r="P847"/>
      <c r="Q847"/>
    </row>
    <row r="848" spans="4:17">
      <c r="D848" s="7" t="e">
        <f>+(#REF!/1.21)*2</f>
        <v>#REF!</v>
      </c>
      <c r="E848" s="8"/>
      <c r="G848"/>
      <c r="P848"/>
      <c r="Q848"/>
    </row>
    <row r="849" spans="4:17">
      <c r="D849" s="7" t="e">
        <f>+(#REF!/1.21)*2</f>
        <v>#REF!</v>
      </c>
      <c r="E849" s="8"/>
      <c r="G849"/>
      <c r="P849"/>
      <c r="Q849"/>
    </row>
    <row r="850" spans="4:17">
      <c r="D850" s="7" t="e">
        <f>+(#REF!/1.21)*2</f>
        <v>#REF!</v>
      </c>
      <c r="E850" s="8"/>
      <c r="G850"/>
      <c r="P850"/>
      <c r="Q850"/>
    </row>
    <row r="851" spans="4:17">
      <c r="D851" s="7" t="e">
        <f>+(#REF!/1.21)*2</f>
        <v>#REF!</v>
      </c>
      <c r="E851" s="8"/>
      <c r="G851"/>
      <c r="P851"/>
      <c r="Q851"/>
    </row>
    <row r="852" spans="4:17">
      <c r="D852" s="7" t="e">
        <f>+(#REF!/1.21)*2</f>
        <v>#REF!</v>
      </c>
      <c r="E852" s="8"/>
      <c r="G852"/>
      <c r="P852"/>
      <c r="Q852"/>
    </row>
    <row r="853" spans="4:17">
      <c r="D853" s="7" t="e">
        <f>+(#REF!/1.21)*2</f>
        <v>#REF!</v>
      </c>
      <c r="E853" s="8"/>
      <c r="G853"/>
      <c r="P853"/>
      <c r="Q853"/>
    </row>
    <row r="854" spans="4:17">
      <c r="D854" s="7" t="e">
        <f>+(#REF!/1.21)*2</f>
        <v>#REF!</v>
      </c>
      <c r="E854" s="8"/>
      <c r="G854"/>
      <c r="P854"/>
      <c r="Q854"/>
    </row>
    <row r="855" spans="4:17">
      <c r="D855" s="7" t="e">
        <f>+(#REF!/1.21)*2</f>
        <v>#REF!</v>
      </c>
      <c r="E855" s="8"/>
      <c r="G855"/>
      <c r="P855"/>
      <c r="Q855"/>
    </row>
    <row r="856" spans="4:17">
      <c r="D856" s="7" t="e">
        <f>+(#REF!/1.21)*2</f>
        <v>#REF!</v>
      </c>
      <c r="E856" s="8"/>
      <c r="G856"/>
      <c r="P856"/>
      <c r="Q856"/>
    </row>
    <row r="857" spans="4:17">
      <c r="D857" s="7" t="e">
        <f>+(#REF!/1.21)*2</f>
        <v>#REF!</v>
      </c>
      <c r="E857" s="8"/>
      <c r="G857"/>
      <c r="P857"/>
      <c r="Q857"/>
    </row>
    <row r="858" spans="4:17">
      <c r="D858" s="7" t="e">
        <f>+(#REF!/1.21)*2</f>
        <v>#REF!</v>
      </c>
      <c r="E858" s="8"/>
      <c r="G858"/>
      <c r="P858"/>
      <c r="Q858"/>
    </row>
    <row r="859" spans="4:17">
      <c r="D859" s="7" t="e">
        <f>+(#REF!/1.21)*2</f>
        <v>#REF!</v>
      </c>
      <c r="E859" s="8"/>
      <c r="G859"/>
      <c r="P859"/>
      <c r="Q859"/>
    </row>
    <row r="860" spans="4:17">
      <c r="D860" s="7" t="e">
        <f>+(#REF!/1.21)*2</f>
        <v>#REF!</v>
      </c>
      <c r="E860" s="8"/>
      <c r="G860"/>
      <c r="P860"/>
      <c r="Q860"/>
    </row>
    <row r="861" spans="4:17">
      <c r="D861" t="s">
        <v>16</v>
      </c>
      <c r="E861" s="1">
        <v>0</v>
      </c>
      <c r="F861" s="1">
        <v>18.149999999999999</v>
      </c>
      <c r="G861" s="3">
        <v>0</v>
      </c>
      <c r="H861" s="1"/>
      <c r="I861" s="1"/>
      <c r="J861" s="1"/>
      <c r="K861" s="1"/>
      <c r="L861" s="1"/>
      <c r="P861" s="7" t="e">
        <f>+(#REF!/1.21)*2</f>
        <v>#REF!</v>
      </c>
      <c r="Q861" s="8"/>
    </row>
    <row r="862" spans="4:17">
      <c r="D862" t="s">
        <v>16</v>
      </c>
      <c r="E862" s="1">
        <v>0</v>
      </c>
      <c r="F862" s="1">
        <v>27.684999999999999</v>
      </c>
      <c r="G862" s="3">
        <v>0</v>
      </c>
      <c r="H862" s="1"/>
      <c r="I862" s="1"/>
      <c r="J862" s="1"/>
      <c r="K862" s="1"/>
      <c r="L862" s="1"/>
      <c r="P862" s="7" t="e">
        <f>+(#REF!/1.21)*2</f>
        <v>#REF!</v>
      </c>
      <c r="Q862" s="8"/>
    </row>
    <row r="863" spans="4:17">
      <c r="G863"/>
      <c r="P863" s="7" t="e">
        <f>+(#REF!/1.21)*2</f>
        <v>#REF!</v>
      </c>
      <c r="Q863" s="8"/>
    </row>
    <row r="864" spans="4:17">
      <c r="G864"/>
      <c r="P864" s="7" t="e">
        <f>+(#REF!/1.21)*2</f>
        <v>#REF!</v>
      </c>
      <c r="Q864" s="8"/>
    </row>
    <row r="865" spans="7:17">
      <c r="G865"/>
      <c r="P865" s="7" t="e">
        <f>+(#REF!/1.21)*2</f>
        <v>#REF!</v>
      </c>
      <c r="Q865" s="8"/>
    </row>
    <row r="866" spans="7:17">
      <c r="G866"/>
      <c r="P866" s="7" t="e">
        <f>+(#REF!/1.21)*2</f>
        <v>#REF!</v>
      </c>
      <c r="Q866" s="8"/>
    </row>
    <row r="867" spans="7:17">
      <c r="G867"/>
      <c r="P867" s="7" t="e">
        <f>+(#REF!/1.21)*2</f>
        <v>#REF!</v>
      </c>
      <c r="Q867" s="8"/>
    </row>
    <row r="868" spans="7:17">
      <c r="G868"/>
      <c r="P868" s="7" t="e">
        <f>+(#REF!/1.21)*2</f>
        <v>#REF!</v>
      </c>
      <c r="Q868" s="8"/>
    </row>
    <row r="869" spans="7:17">
      <c r="G869"/>
      <c r="P869" s="7">
        <f>+(F861/1.21)*2</f>
        <v>30</v>
      </c>
      <c r="Q869" s="8"/>
    </row>
    <row r="870" spans="7:17">
      <c r="G870"/>
      <c r="P870" s="7">
        <f>+(F862/1.21)*2</f>
        <v>45.760330578512395</v>
      </c>
      <c r="Q870" s="8"/>
    </row>
    <row r="871" spans="7:17">
      <c r="G871"/>
      <c r="P871"/>
      <c r="Q871"/>
    </row>
    <row r="872" spans="7:17">
      <c r="G872"/>
      <c r="P872"/>
      <c r="Q872"/>
    </row>
    <row r="873" spans="7:17">
      <c r="G873"/>
      <c r="P873"/>
      <c r="Q873"/>
    </row>
    <row r="874" spans="7:17">
      <c r="G874"/>
      <c r="P874"/>
      <c r="Q874"/>
    </row>
    <row r="875" spans="7:17">
      <c r="G875"/>
      <c r="P875"/>
      <c r="Q875"/>
    </row>
    <row r="876" spans="7:17">
      <c r="G876"/>
      <c r="P876"/>
      <c r="Q876"/>
    </row>
    <row r="877" spans="7:17">
      <c r="G877"/>
      <c r="P877"/>
      <c r="Q877"/>
    </row>
    <row r="878" spans="7:17">
      <c r="G878"/>
      <c r="P878"/>
      <c r="Q878"/>
    </row>
    <row r="879" spans="7:17">
      <c r="G879"/>
      <c r="P879"/>
      <c r="Q879"/>
    </row>
    <row r="880" spans="7:17">
      <c r="G880" s="13"/>
      <c r="P880"/>
      <c r="Q880"/>
    </row>
    <row r="881" spans="7:17">
      <c r="G881" s="13"/>
      <c r="P881"/>
      <c r="Q881"/>
    </row>
    <row r="882" spans="7:17">
      <c r="G882" s="13"/>
      <c r="P882"/>
      <c r="Q882"/>
    </row>
    <row r="883" spans="7:17">
      <c r="G883" s="13"/>
      <c r="P883"/>
      <c r="Q883"/>
    </row>
    <row r="884" spans="7:17">
      <c r="G884" s="13"/>
      <c r="P884"/>
      <c r="Q884"/>
    </row>
    <row r="885" spans="7:17">
      <c r="G885" s="13"/>
      <c r="P885"/>
      <c r="Q885"/>
    </row>
    <row r="886" spans="7:17">
      <c r="G886" s="13"/>
      <c r="P886"/>
      <c r="Q886"/>
    </row>
    <row r="887" spans="7:17">
      <c r="G887" s="13"/>
      <c r="P887"/>
      <c r="Q887"/>
    </row>
    <row r="888" spans="7:17">
      <c r="G888" s="13"/>
      <c r="Q888" s="8"/>
    </row>
    <row r="889" spans="7:17">
      <c r="G889" s="13"/>
      <c r="Q889" s="8"/>
    </row>
    <row r="890" spans="7:17">
      <c r="G890" s="13"/>
      <c r="Q890" s="8"/>
    </row>
    <row r="891" spans="7:17">
      <c r="G891" s="13"/>
      <c r="Q891" s="8"/>
    </row>
    <row r="892" spans="7:17">
      <c r="G892" s="13"/>
      <c r="Q892" s="8"/>
    </row>
    <row r="893" spans="7:17">
      <c r="G893" s="13"/>
      <c r="Q893" s="8"/>
    </row>
    <row r="894" spans="7:17">
      <c r="G894" s="13"/>
      <c r="Q894" s="8"/>
    </row>
    <row r="895" spans="7:17">
      <c r="G895" s="13"/>
      <c r="Q895" s="8"/>
    </row>
    <row r="896" spans="7:17">
      <c r="G896" s="13"/>
      <c r="Q896" s="8"/>
    </row>
    <row r="897" spans="7:17">
      <c r="G897" s="13"/>
      <c r="Q897" s="8"/>
    </row>
    <row r="898" spans="7:17">
      <c r="G898" s="13"/>
      <c r="Q898" s="8"/>
    </row>
    <row r="899" spans="7:17">
      <c r="G899" s="13"/>
      <c r="Q899" s="8"/>
    </row>
    <row r="900" spans="7:17">
      <c r="G900" s="13"/>
      <c r="Q900" s="8"/>
    </row>
    <row r="901" spans="7:17">
      <c r="G901" s="13"/>
      <c r="Q901" s="8"/>
    </row>
    <row r="902" spans="7:17">
      <c r="G902" s="13"/>
      <c r="Q902" s="8"/>
    </row>
    <row r="903" spans="7:17">
      <c r="G903" s="13"/>
      <c r="Q903" s="8"/>
    </row>
    <row r="904" spans="7:17">
      <c r="G904" s="13"/>
      <c r="Q904" s="8"/>
    </row>
    <row r="905" spans="7:17">
      <c r="G905" s="13"/>
      <c r="Q905" s="8"/>
    </row>
    <row r="906" spans="7:17">
      <c r="G906" s="13"/>
      <c r="Q906" s="8"/>
    </row>
    <row r="907" spans="7:17">
      <c r="G907" s="13"/>
      <c r="Q907" s="8"/>
    </row>
    <row r="908" spans="7:17">
      <c r="G908" s="13"/>
      <c r="Q908" s="8"/>
    </row>
    <row r="909" spans="7:17">
      <c r="G909" s="13"/>
      <c r="Q909" s="8"/>
    </row>
    <row r="910" spans="7:17">
      <c r="G910" s="13"/>
      <c r="Q910" s="8"/>
    </row>
    <row r="911" spans="7:17">
      <c r="G911" s="13"/>
      <c r="Q911" s="8"/>
    </row>
    <row r="912" spans="7:17">
      <c r="G912" s="13"/>
      <c r="Q912" s="8"/>
    </row>
    <row r="913" spans="7:17">
      <c r="G913" s="13"/>
      <c r="Q913" s="8"/>
    </row>
    <row r="914" spans="7:17">
      <c r="G914" s="13"/>
      <c r="Q914" s="8"/>
    </row>
    <row r="915" spans="7:17">
      <c r="G915" s="13"/>
      <c r="Q915" s="8"/>
    </row>
    <row r="916" spans="7:17">
      <c r="G916" s="13"/>
      <c r="Q916" s="8"/>
    </row>
    <row r="917" spans="7:17">
      <c r="G917" s="13"/>
      <c r="Q917" s="8"/>
    </row>
    <row r="918" spans="7:17">
      <c r="G918" s="13"/>
      <c r="Q918" s="8"/>
    </row>
    <row r="919" spans="7:17">
      <c r="G919" s="13"/>
      <c r="Q919" s="8"/>
    </row>
    <row r="920" spans="7:17">
      <c r="G920" s="13"/>
      <c r="Q920" s="8"/>
    </row>
    <row r="921" spans="7:17">
      <c r="G921" s="13"/>
      <c r="Q921" s="8"/>
    </row>
    <row r="922" spans="7:17">
      <c r="G922" s="13"/>
      <c r="Q922" s="8"/>
    </row>
    <row r="923" spans="7:17">
      <c r="G923" s="13"/>
      <c r="Q923" s="8"/>
    </row>
    <row r="924" spans="7:17">
      <c r="G924" s="13"/>
      <c r="Q924" s="8"/>
    </row>
    <row r="925" spans="7:17">
      <c r="G925" s="13"/>
      <c r="Q925" s="8"/>
    </row>
    <row r="926" spans="7:17">
      <c r="G926" s="13"/>
      <c r="Q926" s="8"/>
    </row>
    <row r="927" spans="7:17">
      <c r="G927" s="13"/>
      <c r="Q927" s="8"/>
    </row>
    <row r="928" spans="7:17">
      <c r="G928" s="13"/>
      <c r="Q928" s="8"/>
    </row>
    <row r="929" spans="7:17">
      <c r="G929" s="13"/>
      <c r="Q929" s="8"/>
    </row>
    <row r="930" spans="7:17">
      <c r="G930" s="13"/>
      <c r="Q930" s="8"/>
    </row>
    <row r="931" spans="7:17">
      <c r="G931" s="13"/>
      <c r="Q931" s="8"/>
    </row>
    <row r="932" spans="7:17">
      <c r="G932" s="13"/>
      <c r="Q932" s="8"/>
    </row>
    <row r="933" spans="7:17">
      <c r="G933" s="13"/>
      <c r="Q933" s="8"/>
    </row>
    <row r="934" spans="7:17">
      <c r="G934" s="13"/>
      <c r="Q934" s="8"/>
    </row>
    <row r="935" spans="7:17">
      <c r="G935" s="13"/>
      <c r="Q935" s="8"/>
    </row>
    <row r="936" spans="7:17">
      <c r="G936" s="13"/>
      <c r="Q936" s="8"/>
    </row>
    <row r="937" spans="7:17">
      <c r="G937" s="13"/>
      <c r="Q937" s="8"/>
    </row>
    <row r="938" spans="7:17">
      <c r="G938" s="13"/>
      <c r="Q938" s="8"/>
    </row>
    <row r="939" spans="7:17">
      <c r="G939" s="13"/>
      <c r="Q939" s="8"/>
    </row>
    <row r="940" spans="7:17">
      <c r="G940" s="13"/>
      <c r="Q940" s="8"/>
    </row>
    <row r="941" spans="7:17">
      <c r="G941" s="13"/>
      <c r="Q941" s="8"/>
    </row>
    <row r="942" spans="7:17">
      <c r="G942" s="13"/>
      <c r="Q942" s="8"/>
    </row>
    <row r="943" spans="7:17">
      <c r="G943" s="13"/>
      <c r="Q943" s="8"/>
    </row>
    <row r="944" spans="7:17">
      <c r="G944" s="13"/>
      <c r="Q944" s="8"/>
    </row>
    <row r="945" spans="7:17">
      <c r="G945" s="13"/>
      <c r="Q945" s="8"/>
    </row>
    <row r="946" spans="7:17">
      <c r="G946" s="13"/>
      <c r="Q946" s="8"/>
    </row>
    <row r="947" spans="7:17">
      <c r="G947" s="13"/>
      <c r="Q947" s="8"/>
    </row>
    <row r="948" spans="7:17">
      <c r="G948" s="13"/>
      <c r="Q948" s="8"/>
    </row>
    <row r="949" spans="7:17">
      <c r="G949" s="13"/>
      <c r="Q949" s="8"/>
    </row>
    <row r="950" spans="7:17">
      <c r="G950" s="13"/>
      <c r="Q950" s="8"/>
    </row>
    <row r="951" spans="7:17">
      <c r="G951" s="13"/>
      <c r="Q951" s="8"/>
    </row>
    <row r="952" spans="7:17">
      <c r="G952" s="13"/>
      <c r="Q952" s="8"/>
    </row>
    <row r="953" spans="7:17">
      <c r="G953" s="13"/>
      <c r="Q953" s="8"/>
    </row>
    <row r="954" spans="7:17">
      <c r="G954" s="13"/>
      <c r="Q954" s="8"/>
    </row>
    <row r="955" spans="7:17">
      <c r="G955" s="13"/>
      <c r="Q955" s="8"/>
    </row>
    <row r="956" spans="7:17">
      <c r="G956" s="13"/>
      <c r="Q956" s="8"/>
    </row>
    <row r="957" spans="7:17">
      <c r="G957" s="13"/>
      <c r="Q957" s="8"/>
    </row>
    <row r="958" spans="7:17">
      <c r="G958" s="13"/>
      <c r="Q958" s="8"/>
    </row>
    <row r="959" spans="7:17">
      <c r="G959" s="13"/>
      <c r="Q959" s="8"/>
    </row>
    <row r="960" spans="7:17">
      <c r="G960" s="13"/>
      <c r="Q960" s="8"/>
    </row>
    <row r="961" spans="7:17">
      <c r="G961" s="13"/>
      <c r="Q961" s="8"/>
    </row>
    <row r="962" spans="7:17">
      <c r="G962" s="13"/>
      <c r="Q962" s="8"/>
    </row>
    <row r="963" spans="7:17">
      <c r="G963" s="13"/>
      <c r="Q963" s="8"/>
    </row>
    <row r="964" spans="7:17">
      <c r="G964" s="13"/>
      <c r="Q964" s="8"/>
    </row>
    <row r="965" spans="7:17">
      <c r="G965" s="13"/>
      <c r="Q965" s="8"/>
    </row>
    <row r="966" spans="7:17">
      <c r="G966" s="13"/>
      <c r="Q966" s="8"/>
    </row>
    <row r="967" spans="7:17">
      <c r="G967" s="13"/>
      <c r="Q967" s="8"/>
    </row>
    <row r="968" spans="7:17">
      <c r="G968" s="13"/>
      <c r="Q968" s="8"/>
    </row>
    <row r="969" spans="7:17">
      <c r="G969" s="13"/>
      <c r="Q969" s="8"/>
    </row>
    <row r="970" spans="7:17">
      <c r="G970" s="13"/>
      <c r="Q970" s="8"/>
    </row>
    <row r="971" spans="7:17">
      <c r="G971" s="13"/>
      <c r="Q971" s="8"/>
    </row>
    <row r="972" spans="7:17">
      <c r="G972" s="13"/>
      <c r="Q972" s="8"/>
    </row>
    <row r="973" spans="7:17">
      <c r="G973" s="13"/>
      <c r="Q973" s="8"/>
    </row>
    <row r="974" spans="7:17">
      <c r="G974" s="13"/>
      <c r="Q974" s="8"/>
    </row>
    <row r="975" spans="7:17">
      <c r="G975" s="13"/>
      <c r="Q975" s="8"/>
    </row>
    <row r="976" spans="7:17">
      <c r="G976" s="13"/>
      <c r="Q976" s="8"/>
    </row>
    <row r="977" spans="7:17">
      <c r="G977" s="13"/>
      <c r="Q977" s="8"/>
    </row>
    <row r="978" spans="7:17">
      <c r="G978" s="13"/>
      <c r="Q978" s="8"/>
    </row>
    <row r="979" spans="7:17">
      <c r="G979" s="13"/>
      <c r="Q979" s="8"/>
    </row>
    <row r="980" spans="7:17">
      <c r="G980" s="13"/>
      <c r="Q980" s="8"/>
    </row>
    <row r="981" spans="7:17">
      <c r="G981" s="13"/>
      <c r="Q981" s="8"/>
    </row>
    <row r="982" spans="7:17">
      <c r="G982" s="13"/>
      <c r="Q982" s="8"/>
    </row>
    <row r="983" spans="7:17">
      <c r="G983" s="13"/>
      <c r="Q983" s="8"/>
    </row>
    <row r="984" spans="7:17">
      <c r="G984" s="13"/>
      <c r="Q984" s="8"/>
    </row>
    <row r="985" spans="7:17">
      <c r="G985" s="13"/>
      <c r="Q985" s="8"/>
    </row>
    <row r="986" spans="7:17">
      <c r="G986" s="13"/>
      <c r="Q986" s="8"/>
    </row>
    <row r="987" spans="7:17">
      <c r="G987" s="13"/>
      <c r="Q987" s="8"/>
    </row>
    <row r="988" spans="7:17">
      <c r="G988" s="13"/>
      <c r="Q988" s="8"/>
    </row>
    <row r="989" spans="7:17">
      <c r="G989" s="13"/>
      <c r="Q989" s="8"/>
    </row>
    <row r="990" spans="7:17">
      <c r="G990" s="13"/>
      <c r="Q990" s="8"/>
    </row>
    <row r="991" spans="7:17">
      <c r="G991" s="13"/>
      <c r="Q991" s="8"/>
    </row>
    <row r="992" spans="7:17">
      <c r="G992" s="13"/>
      <c r="Q992" s="8"/>
    </row>
    <row r="993" spans="7:17">
      <c r="G993" s="13"/>
      <c r="Q993" s="8"/>
    </row>
    <row r="994" spans="7:17">
      <c r="G994" s="13"/>
      <c r="Q994" s="8"/>
    </row>
    <row r="995" spans="7:17">
      <c r="G995" s="13"/>
      <c r="Q995" s="8"/>
    </row>
    <row r="996" spans="7:17">
      <c r="G996" s="13"/>
      <c r="Q996" s="8"/>
    </row>
    <row r="997" spans="7:17">
      <c r="G997" s="13"/>
      <c r="Q997" s="8"/>
    </row>
    <row r="998" spans="7:17">
      <c r="G998" s="13"/>
      <c r="Q998" s="8"/>
    </row>
    <row r="999" spans="7:17">
      <c r="G999" s="13"/>
      <c r="Q999" s="8"/>
    </row>
    <row r="1000" spans="7:17">
      <c r="G1000" s="13"/>
      <c r="Q1000" s="8"/>
    </row>
    <row r="1001" spans="7:17">
      <c r="G1001" s="13"/>
      <c r="Q1001" s="8"/>
    </row>
    <row r="1002" spans="7:17">
      <c r="G1002" s="13"/>
      <c r="Q1002" s="8"/>
    </row>
    <row r="1003" spans="7:17">
      <c r="G1003" s="13"/>
      <c r="Q1003" s="8"/>
    </row>
    <row r="1004" spans="7:17">
      <c r="G1004" s="13"/>
      <c r="Q1004" s="8"/>
    </row>
    <row r="1005" spans="7:17">
      <c r="G1005" s="13"/>
      <c r="Q1005" s="8"/>
    </row>
    <row r="1006" spans="7:17">
      <c r="G1006" s="13"/>
      <c r="Q1006" s="8"/>
    </row>
    <row r="1007" spans="7:17">
      <c r="G1007" s="13"/>
      <c r="Q1007" s="8"/>
    </row>
    <row r="1008" spans="7:17">
      <c r="G1008" s="13"/>
      <c r="Q1008" s="8"/>
    </row>
    <row r="1009" spans="7:17">
      <c r="G1009" s="13"/>
      <c r="Q1009" s="8"/>
    </row>
    <row r="1010" spans="7:17">
      <c r="G1010" s="13"/>
      <c r="Q1010" s="8"/>
    </row>
    <row r="1011" spans="7:17">
      <c r="G1011" s="13"/>
      <c r="Q1011" s="8"/>
    </row>
    <row r="1012" spans="7:17">
      <c r="G1012" s="13"/>
      <c r="Q1012" s="8"/>
    </row>
    <row r="1013" spans="7:17">
      <c r="G1013" s="13"/>
      <c r="Q1013" s="8"/>
    </row>
    <row r="1014" spans="7:17">
      <c r="G1014" s="13"/>
      <c r="Q1014" s="8"/>
    </row>
    <row r="1015" spans="7:17">
      <c r="G1015" s="13"/>
      <c r="Q1015" s="8"/>
    </row>
    <row r="1016" spans="7:17">
      <c r="G1016" s="13"/>
      <c r="Q1016" s="8"/>
    </row>
    <row r="1017" spans="7:17">
      <c r="G1017" s="13"/>
      <c r="Q1017" s="8"/>
    </row>
    <row r="1018" spans="7:17">
      <c r="G1018" s="13"/>
      <c r="Q1018" s="8"/>
    </row>
    <row r="1019" spans="7:17">
      <c r="G1019" s="13"/>
      <c r="Q1019" s="8"/>
    </row>
    <row r="1020" spans="7:17">
      <c r="G1020" s="13"/>
      <c r="Q1020" s="8"/>
    </row>
    <row r="1021" spans="7:17">
      <c r="G1021" s="13"/>
      <c r="Q1021" s="8"/>
    </row>
    <row r="1022" spans="7:17">
      <c r="G1022" s="13"/>
      <c r="Q1022" s="8"/>
    </row>
    <row r="1023" spans="7:17">
      <c r="G1023" s="13"/>
      <c r="Q1023" s="8"/>
    </row>
    <row r="1024" spans="7:17">
      <c r="G1024" s="13"/>
      <c r="Q1024" s="8"/>
    </row>
    <row r="1025" spans="7:17">
      <c r="G1025" s="13"/>
      <c r="Q1025" s="8"/>
    </row>
    <row r="1026" spans="7:17">
      <c r="G1026" s="13"/>
      <c r="Q1026" s="8"/>
    </row>
    <row r="1027" spans="7:17">
      <c r="G1027" s="13"/>
      <c r="Q1027" s="8"/>
    </row>
    <row r="1028" spans="7:17">
      <c r="G1028" s="13"/>
      <c r="Q1028" s="8"/>
    </row>
    <row r="1029" spans="7:17">
      <c r="G1029" s="13"/>
      <c r="Q1029" s="8"/>
    </row>
    <row r="1030" spans="7:17">
      <c r="G1030" s="13"/>
      <c r="Q1030" s="8"/>
    </row>
    <row r="1031" spans="7:17">
      <c r="G1031" s="13"/>
      <c r="Q1031" s="8"/>
    </row>
    <row r="1032" spans="7:17">
      <c r="G1032" s="13"/>
      <c r="Q1032" s="8"/>
    </row>
    <row r="1033" spans="7:17">
      <c r="G1033" s="13"/>
      <c r="Q1033" s="8"/>
    </row>
    <row r="1034" spans="7:17">
      <c r="G1034" s="13"/>
      <c r="Q1034" s="8"/>
    </row>
    <row r="1035" spans="7:17">
      <c r="G1035" s="13"/>
      <c r="Q1035" s="8"/>
    </row>
    <row r="1036" spans="7:17">
      <c r="G1036" s="13"/>
      <c r="Q1036" s="8"/>
    </row>
    <row r="1037" spans="7:17">
      <c r="G1037" s="13"/>
      <c r="Q1037" s="8"/>
    </row>
    <row r="1038" spans="7:17">
      <c r="G1038" s="13"/>
      <c r="Q1038" s="8"/>
    </row>
    <row r="1039" spans="7:17">
      <c r="G1039" s="13"/>
      <c r="Q1039" s="8"/>
    </row>
    <row r="1040" spans="7:17">
      <c r="G1040" s="13"/>
      <c r="Q1040" s="8"/>
    </row>
    <row r="1041" spans="7:17">
      <c r="G1041" s="13"/>
      <c r="Q1041" s="8"/>
    </row>
    <row r="1042" spans="7:17">
      <c r="G1042" s="13"/>
      <c r="Q1042" s="8"/>
    </row>
    <row r="1043" spans="7:17">
      <c r="G1043" s="13"/>
      <c r="Q1043" s="8"/>
    </row>
    <row r="1044" spans="7:17">
      <c r="G1044" s="13"/>
      <c r="Q1044" s="8"/>
    </row>
    <row r="1045" spans="7:17">
      <c r="G1045" s="13"/>
      <c r="Q1045" s="8"/>
    </row>
    <row r="1046" spans="7:17">
      <c r="G1046" s="13"/>
      <c r="Q1046" s="8"/>
    </row>
    <row r="1047" spans="7:17">
      <c r="G1047" s="13"/>
      <c r="Q1047" s="8"/>
    </row>
    <row r="1048" spans="7:17">
      <c r="G1048" s="13"/>
      <c r="Q1048" s="8"/>
    </row>
    <row r="1049" spans="7:17">
      <c r="G1049" s="13"/>
      <c r="Q1049" s="8"/>
    </row>
    <row r="1050" spans="7:17">
      <c r="G1050" s="13"/>
      <c r="Q1050" s="8"/>
    </row>
    <row r="1051" spans="7:17">
      <c r="G1051" s="13"/>
      <c r="Q1051" s="8"/>
    </row>
    <row r="1052" spans="7:17">
      <c r="G1052" s="13"/>
      <c r="Q1052" s="8"/>
    </row>
    <row r="1053" spans="7:17">
      <c r="G1053" s="13"/>
      <c r="Q1053" s="8"/>
    </row>
    <row r="1054" spans="7:17">
      <c r="G1054" s="13"/>
      <c r="Q1054" s="8"/>
    </row>
    <row r="1055" spans="7:17">
      <c r="G1055" s="13"/>
      <c r="Q1055" s="8"/>
    </row>
    <row r="1056" spans="7:17">
      <c r="G1056" s="13"/>
      <c r="Q1056" s="8"/>
    </row>
    <row r="1057" spans="7:17">
      <c r="G1057" s="13"/>
      <c r="Q1057" s="8"/>
    </row>
    <row r="1058" spans="7:17">
      <c r="G1058" s="13"/>
      <c r="Q1058" s="8"/>
    </row>
    <row r="1059" spans="7:17">
      <c r="G1059" s="13"/>
      <c r="Q1059" s="8"/>
    </row>
    <row r="1060" spans="7:17">
      <c r="G1060" s="13"/>
      <c r="Q1060" s="8"/>
    </row>
    <row r="1061" spans="7:17">
      <c r="G1061" s="13"/>
      <c r="Q1061" s="8"/>
    </row>
    <row r="1062" spans="7:17">
      <c r="G1062" s="13"/>
      <c r="Q1062" s="8"/>
    </row>
    <row r="1063" spans="7:17">
      <c r="G1063" s="13"/>
      <c r="Q1063" s="8"/>
    </row>
    <row r="1064" spans="7:17">
      <c r="G1064" s="13"/>
      <c r="Q1064" s="8"/>
    </row>
    <row r="1065" spans="7:17">
      <c r="G1065" s="13"/>
      <c r="Q1065" s="8"/>
    </row>
    <row r="1066" spans="7:17">
      <c r="G1066" s="13"/>
      <c r="Q1066" s="8"/>
    </row>
    <row r="1067" spans="7:17">
      <c r="G1067" s="13"/>
      <c r="Q1067" s="8"/>
    </row>
    <row r="1068" spans="7:17">
      <c r="G1068" s="13"/>
      <c r="Q1068" s="8"/>
    </row>
    <row r="1069" spans="7:17">
      <c r="G1069" s="13"/>
      <c r="Q1069" s="8"/>
    </row>
    <row r="1070" spans="7:17">
      <c r="G1070" s="13"/>
      <c r="Q1070" s="8"/>
    </row>
    <row r="1071" spans="7:17">
      <c r="G1071" s="13"/>
      <c r="Q1071" s="8"/>
    </row>
    <row r="1072" spans="7:17">
      <c r="G1072" s="13"/>
      <c r="Q1072" s="8"/>
    </row>
    <row r="1073" spans="7:17">
      <c r="G1073" s="13"/>
      <c r="Q1073" s="8"/>
    </row>
    <row r="1074" spans="7:17">
      <c r="G1074" s="13"/>
      <c r="Q1074" s="8"/>
    </row>
    <row r="1075" spans="7:17">
      <c r="G1075" s="13"/>
      <c r="Q1075" s="8"/>
    </row>
    <row r="1076" spans="7:17">
      <c r="G1076" s="13"/>
      <c r="Q1076" s="8"/>
    </row>
    <row r="1077" spans="7:17">
      <c r="G1077" s="13"/>
      <c r="Q1077" s="8"/>
    </row>
    <row r="1078" spans="7:17">
      <c r="G1078" s="13"/>
      <c r="Q1078" s="8"/>
    </row>
    <row r="1079" spans="7:17">
      <c r="G1079" s="13"/>
      <c r="Q1079" s="8"/>
    </row>
    <row r="1080" spans="7:17">
      <c r="G1080" s="13"/>
      <c r="Q1080" s="8"/>
    </row>
    <row r="1081" spans="7:17">
      <c r="G1081" s="13"/>
      <c r="Q1081" s="8"/>
    </row>
    <row r="1082" spans="7:17">
      <c r="G1082" s="13"/>
      <c r="Q1082" s="8"/>
    </row>
    <row r="1083" spans="7:17">
      <c r="G1083" s="13"/>
      <c r="Q1083" s="8"/>
    </row>
    <row r="1084" spans="7:17">
      <c r="G1084" s="13"/>
      <c r="Q1084" s="8"/>
    </row>
    <row r="1085" spans="7:17">
      <c r="G1085" s="13"/>
      <c r="Q1085" s="8"/>
    </row>
    <row r="1086" spans="7:17">
      <c r="G1086" s="13"/>
      <c r="Q1086" s="8"/>
    </row>
    <row r="1087" spans="7:17">
      <c r="G1087" s="13"/>
      <c r="Q1087" s="8"/>
    </row>
    <row r="1088" spans="7:17">
      <c r="G1088" s="13"/>
      <c r="Q1088" s="8"/>
    </row>
    <row r="1089" spans="7:17">
      <c r="G1089" s="13"/>
      <c r="Q1089" s="8"/>
    </row>
    <row r="1090" spans="7:17">
      <c r="G1090" s="13"/>
      <c r="Q1090" s="8"/>
    </row>
    <row r="1091" spans="7:17">
      <c r="G1091" s="13"/>
      <c r="Q1091" s="8"/>
    </row>
    <row r="1092" spans="7:17">
      <c r="G1092" s="13"/>
      <c r="Q1092" s="8"/>
    </row>
    <row r="1093" spans="7:17">
      <c r="G1093" s="13"/>
      <c r="Q1093" s="8"/>
    </row>
    <row r="1094" spans="7:17">
      <c r="G1094" s="13"/>
      <c r="Q1094" s="8"/>
    </row>
    <row r="1095" spans="7:17">
      <c r="G1095" s="13"/>
      <c r="Q1095" s="8"/>
    </row>
    <row r="1096" spans="7:17">
      <c r="G1096" s="13"/>
      <c r="Q1096" s="8"/>
    </row>
    <row r="1097" spans="7:17">
      <c r="G1097" s="13"/>
      <c r="Q1097" s="8"/>
    </row>
    <row r="1098" spans="7:17">
      <c r="G1098" s="13"/>
      <c r="Q1098" s="8"/>
    </row>
    <row r="1099" spans="7:17">
      <c r="G1099" s="13"/>
      <c r="Q1099" s="8"/>
    </row>
    <row r="1100" spans="7:17">
      <c r="G1100" s="13"/>
      <c r="Q1100" s="8"/>
    </row>
    <row r="1101" spans="7:17">
      <c r="G1101" s="13"/>
      <c r="Q1101" s="8"/>
    </row>
    <row r="1102" spans="7:17">
      <c r="G1102" s="13"/>
      <c r="Q1102" s="8"/>
    </row>
    <row r="1103" spans="7:17">
      <c r="G1103" s="13"/>
      <c r="Q1103" s="8"/>
    </row>
    <row r="1104" spans="7:17">
      <c r="G1104" s="13"/>
      <c r="Q1104" s="8"/>
    </row>
    <row r="1105" spans="7:17">
      <c r="G1105" s="13"/>
      <c r="Q1105" s="8"/>
    </row>
    <row r="1106" spans="7:17">
      <c r="G1106" s="13"/>
      <c r="Q1106" s="8"/>
    </row>
    <row r="1107" spans="7:17">
      <c r="G1107" s="13"/>
      <c r="Q1107" s="8"/>
    </row>
    <row r="1108" spans="7:17">
      <c r="G1108" s="13"/>
      <c r="Q1108" s="8"/>
    </row>
    <row r="1109" spans="7:17">
      <c r="G1109" s="13"/>
      <c r="Q1109" s="8"/>
    </row>
    <row r="1110" spans="7:17">
      <c r="G1110" s="13"/>
      <c r="Q1110" s="8"/>
    </row>
    <row r="1111" spans="7:17">
      <c r="G1111" s="13"/>
      <c r="Q1111" s="8"/>
    </row>
    <row r="1112" spans="7:17">
      <c r="G1112" s="13"/>
      <c r="Q1112" s="8"/>
    </row>
    <row r="1113" spans="7:17">
      <c r="G1113" s="13"/>
      <c r="Q1113" s="8"/>
    </row>
    <row r="1114" spans="7:17">
      <c r="G1114" s="13"/>
      <c r="Q1114" s="8"/>
    </row>
    <row r="1115" spans="7:17">
      <c r="G1115" s="13"/>
      <c r="Q1115" s="8"/>
    </row>
    <row r="1116" spans="7:17">
      <c r="G1116" s="13"/>
      <c r="Q1116" s="8"/>
    </row>
    <row r="1117" spans="7:17">
      <c r="G1117" s="13"/>
      <c r="Q1117" s="8"/>
    </row>
    <row r="1118" spans="7:17">
      <c r="G1118" s="13"/>
      <c r="Q1118" s="8"/>
    </row>
    <row r="1119" spans="7:17">
      <c r="G1119" s="13"/>
      <c r="Q1119" s="8"/>
    </row>
    <row r="1120" spans="7:17">
      <c r="G1120" s="13"/>
      <c r="Q1120" s="8"/>
    </row>
    <row r="1121" spans="7:17">
      <c r="G1121" s="13"/>
      <c r="Q1121" s="8"/>
    </row>
    <row r="1122" spans="7:17">
      <c r="G1122" s="13"/>
      <c r="Q1122" s="8"/>
    </row>
    <row r="1123" spans="7:17">
      <c r="G1123" s="13"/>
      <c r="Q1123" s="8"/>
    </row>
    <row r="1124" spans="7:17">
      <c r="G1124" s="13"/>
      <c r="Q1124" s="8"/>
    </row>
    <row r="1125" spans="7:17">
      <c r="G1125" s="13"/>
      <c r="Q1125" s="8"/>
    </row>
    <row r="1126" spans="7:17">
      <c r="G1126" s="13"/>
      <c r="Q1126" s="8"/>
    </row>
    <row r="1127" spans="7:17">
      <c r="G1127" s="13"/>
      <c r="Q1127" s="8"/>
    </row>
    <row r="1128" spans="7:17">
      <c r="G1128" s="13"/>
      <c r="Q1128" s="8"/>
    </row>
    <row r="1129" spans="7:17">
      <c r="G1129" s="13"/>
      <c r="Q1129" s="8"/>
    </row>
    <row r="1130" spans="7:17">
      <c r="G1130" s="13"/>
      <c r="Q1130" s="8"/>
    </row>
    <row r="1131" spans="7:17">
      <c r="G1131" s="13"/>
      <c r="Q1131" s="8"/>
    </row>
    <row r="1132" spans="7:17">
      <c r="G1132" s="13"/>
      <c r="Q1132" s="8"/>
    </row>
    <row r="1133" spans="7:17">
      <c r="G1133" s="13"/>
      <c r="Q1133" s="8"/>
    </row>
    <row r="1134" spans="7:17">
      <c r="G1134" s="13"/>
      <c r="Q1134" s="8"/>
    </row>
    <row r="1135" spans="7:17">
      <c r="G1135" s="13"/>
      <c r="Q1135" s="8"/>
    </row>
    <row r="1136" spans="7:17">
      <c r="G1136" s="13"/>
      <c r="Q1136" s="8"/>
    </row>
    <row r="1137" spans="7:17">
      <c r="G1137" s="13"/>
      <c r="Q1137" s="8"/>
    </row>
    <row r="1138" spans="7:17">
      <c r="G1138" s="13"/>
      <c r="Q1138" s="8"/>
    </row>
    <row r="1139" spans="7:17">
      <c r="G1139" s="13"/>
      <c r="Q1139" s="8"/>
    </row>
    <row r="1140" spans="7:17">
      <c r="G1140" s="13"/>
      <c r="Q1140" s="8"/>
    </row>
    <row r="1141" spans="7:17">
      <c r="G1141" s="13"/>
      <c r="Q1141" s="8"/>
    </row>
    <row r="1142" spans="7:17">
      <c r="G1142" s="13"/>
      <c r="Q1142" s="8"/>
    </row>
    <row r="1143" spans="7:17">
      <c r="G1143" s="13"/>
      <c r="Q1143" s="8"/>
    </row>
    <row r="1144" spans="7:17">
      <c r="G1144" s="13"/>
      <c r="Q1144" s="8"/>
    </row>
    <row r="1145" spans="7:17">
      <c r="G1145" s="13"/>
      <c r="Q1145" s="8"/>
    </row>
    <row r="1146" spans="7:17">
      <c r="G1146" s="13"/>
      <c r="Q1146" s="8"/>
    </row>
    <row r="1147" spans="7:17">
      <c r="G1147" s="13"/>
      <c r="Q1147" s="8"/>
    </row>
    <row r="1148" spans="7:17">
      <c r="G1148" s="13"/>
      <c r="Q1148" s="8"/>
    </row>
    <row r="1149" spans="7:17">
      <c r="G1149" s="13"/>
      <c r="Q1149" s="8"/>
    </row>
    <row r="1150" spans="7:17">
      <c r="G1150" s="13"/>
      <c r="Q1150" s="8"/>
    </row>
    <row r="1151" spans="7:17">
      <c r="G1151" s="13"/>
      <c r="Q1151" s="8"/>
    </row>
    <row r="1152" spans="7:17">
      <c r="G1152" s="13"/>
      <c r="Q1152" s="8"/>
    </row>
    <row r="1153" spans="7:17">
      <c r="G1153" s="13"/>
      <c r="Q1153" s="8"/>
    </row>
    <row r="1154" spans="7:17">
      <c r="G1154" s="13"/>
      <c r="Q1154" s="8"/>
    </row>
    <row r="1155" spans="7:17">
      <c r="G1155" s="13"/>
      <c r="Q1155" s="8"/>
    </row>
    <row r="1156" spans="7:17">
      <c r="G1156" s="13"/>
      <c r="Q1156" s="8"/>
    </row>
    <row r="1157" spans="7:17">
      <c r="G1157" s="13"/>
      <c r="Q1157" s="8"/>
    </row>
    <row r="1158" spans="7:17">
      <c r="G1158" s="13"/>
      <c r="Q1158" s="8"/>
    </row>
    <row r="1159" spans="7:17">
      <c r="G1159" s="13"/>
      <c r="Q1159" s="8"/>
    </row>
    <row r="1160" spans="7:17">
      <c r="G1160" s="13"/>
      <c r="Q1160" s="8"/>
    </row>
    <row r="1161" spans="7:17">
      <c r="G1161" s="13"/>
      <c r="Q1161" s="8"/>
    </row>
    <row r="1162" spans="7:17">
      <c r="G1162" s="13"/>
      <c r="Q1162" s="8"/>
    </row>
    <row r="1163" spans="7:17">
      <c r="G1163" s="13"/>
      <c r="Q1163" s="8"/>
    </row>
    <row r="1164" spans="7:17">
      <c r="G1164" s="13"/>
      <c r="Q1164" s="8"/>
    </row>
    <row r="1165" spans="7:17">
      <c r="G1165" s="13"/>
      <c r="Q1165" s="8"/>
    </row>
    <row r="1166" spans="7:17">
      <c r="G1166" s="13"/>
      <c r="Q1166" s="8"/>
    </row>
    <row r="1167" spans="7:17">
      <c r="G1167" s="13"/>
      <c r="Q1167" s="8"/>
    </row>
    <row r="1168" spans="7:17">
      <c r="G1168" s="13"/>
      <c r="Q1168" s="8"/>
    </row>
    <row r="1169" spans="7:17">
      <c r="G1169" s="13"/>
      <c r="Q1169" s="8"/>
    </row>
    <row r="1170" spans="7:17">
      <c r="G1170" s="13"/>
      <c r="Q1170" s="8"/>
    </row>
    <row r="1171" spans="7:17">
      <c r="G1171" s="13"/>
      <c r="Q1171" s="8"/>
    </row>
    <row r="1172" spans="7:17">
      <c r="G1172" s="13"/>
      <c r="Q1172" s="8"/>
    </row>
    <row r="1173" spans="7:17">
      <c r="G1173" s="13"/>
      <c r="Q1173" s="8"/>
    </row>
    <row r="1174" spans="7:17">
      <c r="G1174" s="13"/>
      <c r="Q1174" s="8"/>
    </row>
    <row r="1175" spans="7:17">
      <c r="G1175" s="13"/>
      <c r="Q1175" s="8"/>
    </row>
    <row r="1176" spans="7:17">
      <c r="G1176" s="13"/>
      <c r="Q1176" s="8"/>
    </row>
    <row r="1177" spans="7:17">
      <c r="G1177" s="13"/>
      <c r="Q1177" s="8"/>
    </row>
    <row r="1178" spans="7:17">
      <c r="G1178" s="13"/>
      <c r="Q1178" s="8"/>
    </row>
    <row r="1179" spans="7:17">
      <c r="G1179" s="13"/>
      <c r="Q1179" s="8"/>
    </row>
    <row r="1180" spans="7:17">
      <c r="G1180" s="13"/>
      <c r="Q1180" s="8"/>
    </row>
    <row r="1181" spans="7:17">
      <c r="G1181" s="13"/>
      <c r="Q1181" s="8"/>
    </row>
    <row r="1182" spans="7:17">
      <c r="G1182" s="13"/>
      <c r="Q1182" s="8"/>
    </row>
    <row r="1183" spans="7:17">
      <c r="G1183" s="13"/>
      <c r="Q1183" s="8"/>
    </row>
    <row r="1184" spans="7:17">
      <c r="G1184" s="13"/>
      <c r="Q1184" s="8"/>
    </row>
    <row r="1185" spans="7:17">
      <c r="G1185" s="13"/>
      <c r="Q1185" s="8"/>
    </row>
    <row r="1186" spans="7:17">
      <c r="G1186" s="13"/>
      <c r="Q1186" s="8"/>
    </row>
    <row r="1187" spans="7:17">
      <c r="G1187" s="13"/>
      <c r="Q1187" s="8"/>
    </row>
    <row r="1188" spans="7:17">
      <c r="G1188" s="13"/>
      <c r="Q1188" s="8"/>
    </row>
    <row r="1189" spans="7:17">
      <c r="G1189" s="13"/>
      <c r="Q1189" s="8"/>
    </row>
    <row r="1190" spans="7:17">
      <c r="G1190" s="13"/>
      <c r="Q1190" s="8"/>
    </row>
    <row r="1191" spans="7:17">
      <c r="G1191" s="13"/>
      <c r="Q1191" s="8"/>
    </row>
    <row r="1192" spans="7:17">
      <c r="G1192" s="13"/>
      <c r="Q1192" s="8"/>
    </row>
    <row r="1193" spans="7:17">
      <c r="G1193" s="13"/>
      <c r="Q1193" s="8"/>
    </row>
    <row r="1194" spans="7:17">
      <c r="G1194" s="13"/>
      <c r="Q1194" s="8"/>
    </row>
    <row r="1195" spans="7:17">
      <c r="G1195" s="13"/>
      <c r="Q1195" s="8"/>
    </row>
    <row r="1196" spans="7:17">
      <c r="G1196" s="13"/>
      <c r="Q1196" s="8"/>
    </row>
    <row r="1197" spans="7:17">
      <c r="G1197" s="13"/>
      <c r="Q1197" s="8"/>
    </row>
    <row r="1198" spans="7:17">
      <c r="G1198" s="13"/>
      <c r="Q1198" s="8"/>
    </row>
    <row r="1199" spans="7:17">
      <c r="G1199" s="13"/>
      <c r="Q1199" s="8"/>
    </row>
    <row r="1200" spans="7:17">
      <c r="G1200" s="13"/>
      <c r="Q1200" s="8"/>
    </row>
    <row r="1201" spans="7:17">
      <c r="G1201" s="13"/>
      <c r="Q1201" s="8"/>
    </row>
    <row r="1202" spans="7:17">
      <c r="G1202" s="13"/>
      <c r="Q1202" s="8"/>
    </row>
    <row r="1203" spans="7:17">
      <c r="G1203" s="13"/>
      <c r="Q1203" s="8"/>
    </row>
    <row r="1204" spans="7:17">
      <c r="G1204" s="13"/>
      <c r="Q1204" s="8"/>
    </row>
    <row r="1205" spans="7:17">
      <c r="G1205" s="13"/>
      <c r="Q1205" s="8"/>
    </row>
    <row r="1206" spans="7:17">
      <c r="G1206" s="13"/>
      <c r="Q1206" s="8"/>
    </row>
    <row r="1207" spans="7:17">
      <c r="G1207" s="13"/>
      <c r="Q1207" s="8"/>
    </row>
    <row r="1208" spans="7:17">
      <c r="G1208" s="13"/>
      <c r="Q1208" s="8"/>
    </row>
    <row r="1209" spans="7:17">
      <c r="G1209" s="13"/>
      <c r="Q1209" s="8"/>
    </row>
    <row r="1210" spans="7:17">
      <c r="G1210" s="13"/>
      <c r="Q1210" s="8"/>
    </row>
    <row r="1211" spans="7:17">
      <c r="G1211" s="13"/>
      <c r="Q1211" s="8"/>
    </row>
    <row r="1212" spans="7:17">
      <c r="G1212" s="13"/>
      <c r="Q1212" s="8"/>
    </row>
    <row r="1213" spans="7:17">
      <c r="G1213" s="13"/>
      <c r="Q1213" s="8"/>
    </row>
    <row r="1214" spans="7:17">
      <c r="G1214" s="13"/>
      <c r="Q1214" s="8"/>
    </row>
    <row r="1215" spans="7:17">
      <c r="G1215" s="13"/>
      <c r="Q1215" s="8"/>
    </row>
    <row r="1216" spans="7:17">
      <c r="G1216" s="13"/>
      <c r="Q1216" s="8"/>
    </row>
    <row r="1217" spans="7:17">
      <c r="G1217" s="13"/>
      <c r="Q1217" s="8"/>
    </row>
    <row r="1218" spans="7:17">
      <c r="G1218" s="13"/>
      <c r="Q1218" s="8"/>
    </row>
    <row r="1219" spans="7:17">
      <c r="G1219" s="13"/>
      <c r="Q1219" s="8"/>
    </row>
    <row r="1220" spans="7:17">
      <c r="G1220" s="13"/>
      <c r="Q1220" s="8"/>
    </row>
    <row r="1221" spans="7:17">
      <c r="G1221" s="13"/>
      <c r="Q1221" s="8"/>
    </row>
    <row r="1222" spans="7:17">
      <c r="G1222" s="13"/>
      <c r="Q1222" s="8"/>
    </row>
    <row r="1223" spans="7:17">
      <c r="G1223" s="13"/>
      <c r="Q1223" s="8"/>
    </row>
    <row r="1224" spans="7:17">
      <c r="G1224" s="13"/>
      <c r="Q1224" s="8"/>
    </row>
    <row r="1225" spans="7:17">
      <c r="G1225" s="13"/>
      <c r="Q1225" s="8"/>
    </row>
    <row r="1226" spans="7:17">
      <c r="G1226" s="13"/>
      <c r="Q1226" s="8"/>
    </row>
    <row r="1227" spans="7:17">
      <c r="G1227" s="13"/>
      <c r="Q1227" s="8"/>
    </row>
    <row r="1228" spans="7:17">
      <c r="G1228" s="13"/>
      <c r="Q1228" s="8"/>
    </row>
    <row r="1229" spans="7:17">
      <c r="G1229" s="13"/>
      <c r="Q1229" s="8"/>
    </row>
    <row r="1230" spans="7:17">
      <c r="G1230" s="13"/>
      <c r="Q1230" s="8"/>
    </row>
    <row r="1231" spans="7:17">
      <c r="G1231" s="13"/>
      <c r="Q1231" s="8"/>
    </row>
    <row r="1232" spans="7:17">
      <c r="G1232" s="13"/>
      <c r="Q1232" s="8"/>
    </row>
    <row r="1233" spans="7:17">
      <c r="G1233" s="13"/>
      <c r="Q1233" s="8"/>
    </row>
    <row r="1234" spans="7:17">
      <c r="G1234" s="13"/>
      <c r="Q1234" s="8"/>
    </row>
    <row r="1235" spans="7:17">
      <c r="G1235" s="13"/>
      <c r="Q1235" s="8"/>
    </row>
    <row r="1236" spans="7:17">
      <c r="G1236" s="13"/>
      <c r="Q1236" s="8"/>
    </row>
    <row r="1237" spans="7:17">
      <c r="G1237" s="13"/>
      <c r="Q1237" s="8"/>
    </row>
    <row r="1238" spans="7:17">
      <c r="G1238" s="13"/>
      <c r="Q1238" s="8"/>
    </row>
    <row r="1239" spans="7:17">
      <c r="G1239" s="13"/>
      <c r="Q1239" s="8"/>
    </row>
    <row r="1240" spans="7:17">
      <c r="G1240" s="13"/>
      <c r="Q1240" s="8"/>
    </row>
    <row r="1241" spans="7:17">
      <c r="G1241" s="13"/>
      <c r="Q1241" s="8"/>
    </row>
    <row r="1242" spans="7:17">
      <c r="G1242" s="13"/>
      <c r="Q1242" s="8"/>
    </row>
    <row r="1243" spans="7:17">
      <c r="G1243" s="13"/>
      <c r="Q1243" s="8"/>
    </row>
    <row r="1244" spans="7:17">
      <c r="G1244" s="13"/>
      <c r="Q1244" s="8"/>
    </row>
    <row r="1245" spans="7:17">
      <c r="G1245" s="13"/>
      <c r="Q1245" s="8"/>
    </row>
    <row r="1246" spans="7:17">
      <c r="G1246" s="13"/>
      <c r="Q1246" s="8"/>
    </row>
    <row r="1247" spans="7:17">
      <c r="G1247" s="13"/>
      <c r="Q1247" s="8"/>
    </row>
    <row r="1248" spans="7:17">
      <c r="G1248" s="13"/>
      <c r="Q1248" s="8"/>
    </row>
    <row r="1249" spans="7:17">
      <c r="G1249" s="13"/>
      <c r="Q1249" s="8"/>
    </row>
    <row r="1250" spans="7:17">
      <c r="G1250" s="13"/>
      <c r="Q1250" s="8"/>
    </row>
    <row r="1251" spans="7:17">
      <c r="G1251" s="13"/>
      <c r="Q1251" s="8"/>
    </row>
    <row r="1252" spans="7:17">
      <c r="G1252" s="13"/>
      <c r="Q1252" s="8"/>
    </row>
    <row r="1253" spans="7:17">
      <c r="G1253" s="13"/>
      <c r="Q1253" s="8"/>
    </row>
    <row r="1254" spans="7:17">
      <c r="G1254" s="13"/>
      <c r="Q1254" s="8"/>
    </row>
    <row r="1255" spans="7:17">
      <c r="G1255" s="13"/>
      <c r="Q1255" s="8"/>
    </row>
    <row r="1256" spans="7:17">
      <c r="G1256" s="13"/>
      <c r="Q1256" s="8"/>
    </row>
    <row r="1257" spans="7:17">
      <c r="G1257" s="13"/>
      <c r="Q1257" s="8"/>
    </row>
    <row r="1258" spans="7:17">
      <c r="G1258" s="13"/>
      <c r="Q1258" s="8"/>
    </row>
    <row r="1259" spans="7:17">
      <c r="G1259" s="13"/>
      <c r="Q1259" s="8"/>
    </row>
    <row r="1260" spans="7:17">
      <c r="G1260" s="13"/>
      <c r="Q1260" s="8"/>
    </row>
    <row r="1261" spans="7:17">
      <c r="G1261" s="13"/>
      <c r="Q1261" s="8"/>
    </row>
    <row r="1262" spans="7:17">
      <c r="G1262" s="13"/>
      <c r="Q1262" s="8"/>
    </row>
    <row r="1263" spans="7:17">
      <c r="G1263" s="13"/>
      <c r="Q1263" s="8"/>
    </row>
    <row r="1264" spans="7:17">
      <c r="G1264" s="13"/>
      <c r="Q1264" s="8"/>
    </row>
    <row r="1265" spans="7:17">
      <c r="G1265" s="13"/>
      <c r="Q1265" s="8"/>
    </row>
    <row r="1266" spans="7:17">
      <c r="G1266" s="13"/>
      <c r="Q1266" s="8"/>
    </row>
    <row r="1267" spans="7:17">
      <c r="G1267" s="13"/>
      <c r="Q1267" s="8"/>
    </row>
    <row r="1268" spans="7:17">
      <c r="G1268" s="13"/>
      <c r="Q1268" s="8"/>
    </row>
    <row r="1269" spans="7:17">
      <c r="G1269" s="13"/>
      <c r="Q1269" s="8"/>
    </row>
    <row r="1270" spans="7:17">
      <c r="G1270" s="13"/>
      <c r="Q1270" s="8"/>
    </row>
    <row r="1271" spans="7:17">
      <c r="G1271" s="13"/>
      <c r="Q1271" s="8"/>
    </row>
    <row r="1272" spans="7:17">
      <c r="G1272" s="13"/>
      <c r="Q1272" s="8"/>
    </row>
    <row r="1273" spans="7:17">
      <c r="G1273" s="13"/>
      <c r="Q1273" s="8"/>
    </row>
    <row r="1274" spans="7:17">
      <c r="G1274" s="13"/>
      <c r="Q1274" s="8"/>
    </row>
    <row r="1275" spans="7:17">
      <c r="G1275" s="13"/>
      <c r="Q1275" s="8"/>
    </row>
    <row r="1276" spans="7:17">
      <c r="G1276" s="13"/>
      <c r="Q1276" s="8"/>
    </row>
    <row r="1277" spans="7:17">
      <c r="G1277" s="13"/>
      <c r="Q1277" s="8"/>
    </row>
    <row r="1278" spans="7:17">
      <c r="G1278" s="13"/>
      <c r="Q1278" s="8"/>
    </row>
    <row r="1279" spans="7:17">
      <c r="G1279" s="13"/>
      <c r="Q1279" s="8"/>
    </row>
    <row r="1280" spans="7:17">
      <c r="G1280" s="13"/>
      <c r="Q1280" s="8"/>
    </row>
    <row r="1281" spans="7:17">
      <c r="G1281" s="13"/>
      <c r="Q1281" s="8"/>
    </row>
    <row r="1282" spans="7:17">
      <c r="G1282" s="13"/>
      <c r="Q1282" s="8"/>
    </row>
    <row r="1283" spans="7:17">
      <c r="G1283" s="13"/>
      <c r="Q1283" s="8"/>
    </row>
    <row r="1284" spans="7:17">
      <c r="G1284" s="13"/>
      <c r="Q1284" s="8"/>
    </row>
    <row r="1285" spans="7:17">
      <c r="G1285" s="13"/>
      <c r="Q1285" s="8"/>
    </row>
    <row r="1286" spans="7:17">
      <c r="G1286" s="13"/>
      <c r="Q1286" s="8"/>
    </row>
    <row r="1287" spans="7:17">
      <c r="G1287" s="13"/>
      <c r="Q1287" s="8"/>
    </row>
    <row r="1288" spans="7:17">
      <c r="G1288" s="13"/>
      <c r="Q1288" s="8"/>
    </row>
    <row r="1289" spans="7:17">
      <c r="G1289" s="13"/>
      <c r="Q1289" s="8"/>
    </row>
    <row r="1290" spans="7:17">
      <c r="G1290" s="13"/>
      <c r="Q1290" s="8"/>
    </row>
    <row r="1291" spans="7:17">
      <c r="G1291" s="13"/>
      <c r="Q1291" s="8"/>
    </row>
    <row r="1292" spans="7:17">
      <c r="G1292" s="13"/>
      <c r="Q1292" s="8"/>
    </row>
    <row r="1293" spans="7:17">
      <c r="G1293" s="13"/>
      <c r="Q1293" s="8"/>
    </row>
    <row r="1294" spans="7:17">
      <c r="G1294" s="13"/>
      <c r="Q1294" s="8"/>
    </row>
    <row r="1295" spans="7:17">
      <c r="G1295" s="13"/>
      <c r="Q1295" s="8"/>
    </row>
    <row r="1296" spans="7:17">
      <c r="G1296" s="13"/>
      <c r="Q1296" s="8"/>
    </row>
    <row r="1297" spans="7:17">
      <c r="G1297" s="13"/>
      <c r="Q1297" s="8"/>
    </row>
    <row r="1298" spans="7:17">
      <c r="G1298" s="13"/>
      <c r="Q1298" s="8"/>
    </row>
    <row r="1299" spans="7:17">
      <c r="G1299" s="13"/>
      <c r="Q1299" s="8"/>
    </row>
    <row r="1300" spans="7:17">
      <c r="G1300" s="13"/>
      <c r="Q1300" s="8"/>
    </row>
    <row r="1301" spans="7:17">
      <c r="G1301" s="13"/>
      <c r="Q1301" s="8"/>
    </row>
    <row r="1302" spans="7:17">
      <c r="G1302" s="13"/>
      <c r="Q1302" s="8"/>
    </row>
    <row r="1303" spans="7:17">
      <c r="G1303" s="13"/>
      <c r="Q1303" s="8"/>
    </row>
    <row r="1304" spans="7:17">
      <c r="G1304" s="13"/>
      <c r="Q1304" s="8"/>
    </row>
    <row r="1305" spans="7:17">
      <c r="G1305" s="13"/>
      <c r="Q1305" s="8"/>
    </row>
    <row r="1306" spans="7:17">
      <c r="G1306" s="13"/>
      <c r="Q1306" s="8"/>
    </row>
    <row r="1307" spans="7:17">
      <c r="G1307" s="13"/>
      <c r="Q1307" s="8"/>
    </row>
    <row r="1308" spans="7:17">
      <c r="G1308" s="13"/>
      <c r="Q1308" s="8"/>
    </row>
    <row r="1309" spans="7:17">
      <c r="G1309" s="13"/>
      <c r="Q1309" s="8"/>
    </row>
    <row r="1310" spans="7:17">
      <c r="G1310" s="13"/>
      <c r="Q1310" s="8"/>
    </row>
    <row r="1311" spans="7:17">
      <c r="G1311" s="13"/>
      <c r="Q1311" s="8"/>
    </row>
    <row r="1312" spans="7:17">
      <c r="G1312" s="13"/>
      <c r="Q1312" s="8"/>
    </row>
    <row r="1313" spans="7:17">
      <c r="G1313" s="13"/>
      <c r="Q1313" s="8"/>
    </row>
    <row r="1314" spans="7:17">
      <c r="G1314" s="13"/>
      <c r="Q1314" s="8"/>
    </row>
    <row r="1315" spans="7:17">
      <c r="G1315" s="13"/>
      <c r="Q1315" s="8"/>
    </row>
    <row r="1316" spans="7:17">
      <c r="G1316" s="13"/>
      <c r="Q1316" s="8"/>
    </row>
    <row r="1317" spans="7:17">
      <c r="G1317" s="13"/>
      <c r="Q1317" s="8"/>
    </row>
    <row r="1318" spans="7:17">
      <c r="G1318" s="13"/>
      <c r="Q1318" s="8"/>
    </row>
    <row r="1319" spans="7:17">
      <c r="G1319" s="13"/>
      <c r="Q1319" s="8"/>
    </row>
    <row r="1320" spans="7:17">
      <c r="G1320" s="13"/>
      <c r="Q1320" s="8"/>
    </row>
    <row r="1321" spans="7:17">
      <c r="G1321" s="13"/>
      <c r="Q1321" s="8"/>
    </row>
    <row r="1322" spans="7:17">
      <c r="G1322" s="13"/>
      <c r="Q1322" s="8"/>
    </row>
    <row r="1323" spans="7:17">
      <c r="G1323" s="13"/>
      <c r="Q1323" s="8"/>
    </row>
    <row r="1324" spans="7:17">
      <c r="G1324" s="13"/>
      <c r="Q1324" s="8"/>
    </row>
    <row r="1325" spans="7:17">
      <c r="G1325" s="13"/>
      <c r="Q1325" s="8"/>
    </row>
    <row r="1326" spans="7:17">
      <c r="G1326" s="13"/>
      <c r="Q1326" s="8"/>
    </row>
    <row r="1327" spans="7:17">
      <c r="G1327" s="13"/>
      <c r="Q1327" s="8"/>
    </row>
    <row r="1328" spans="7:17">
      <c r="G1328" s="13"/>
      <c r="Q1328" s="8"/>
    </row>
    <row r="1329" spans="5:17">
      <c r="G1329" s="13"/>
      <c r="Q1329" s="8"/>
    </row>
    <row r="1330" spans="5:17">
      <c r="G1330" s="13"/>
      <c r="Q1330" s="8"/>
    </row>
    <row r="1331" spans="5:17">
      <c r="G1331" s="13"/>
      <c r="Q1331" s="8"/>
    </row>
    <row r="1332" spans="5:17">
      <c r="G1332" s="13"/>
      <c r="Q1332" s="8"/>
    </row>
    <row r="1333" spans="5:17">
      <c r="G1333" s="13"/>
      <c r="Q1333" s="8"/>
    </row>
    <row r="1334" spans="5:17">
      <c r="G1334" s="13"/>
      <c r="Q1334" s="8"/>
    </row>
    <row r="1335" spans="5:17">
      <c r="G1335" s="13"/>
      <c r="Q1335" s="8"/>
    </row>
    <row r="1336" spans="5:17">
      <c r="G1336" s="13"/>
      <c r="Q1336" s="8"/>
    </row>
    <row r="1337" spans="5:17">
      <c r="G1337" s="13"/>
      <c r="Q1337" s="8"/>
    </row>
    <row r="1338" spans="5:17">
      <c r="E1338" s="1"/>
      <c r="F1338" s="1"/>
      <c r="G1338" s="3"/>
      <c r="H1338" s="1"/>
      <c r="I1338" s="1"/>
      <c r="J1338" s="1"/>
      <c r="K1338" s="1"/>
      <c r="L1338" s="1"/>
      <c r="Q1338" s="8"/>
    </row>
    <row r="1339" spans="5:17">
      <c r="E1339" s="1"/>
      <c r="F1339" s="1"/>
      <c r="G1339" s="3"/>
      <c r="H1339" s="1"/>
      <c r="I1339" s="1"/>
      <c r="J1339" s="1"/>
      <c r="K1339" s="1"/>
      <c r="L1339" s="1"/>
      <c r="Q1339" s="8"/>
    </row>
    <row r="1340" spans="5:17">
      <c r="E1340" s="1"/>
      <c r="F1340" s="1"/>
      <c r="G1340" s="3"/>
      <c r="H1340" s="1"/>
      <c r="I1340" s="1"/>
      <c r="J1340" s="1"/>
      <c r="K1340" s="1"/>
      <c r="L1340" s="1"/>
      <c r="Q1340" s="8"/>
    </row>
    <row r="1341" spans="5:17">
      <c r="E1341" s="1"/>
      <c r="F1341" s="1"/>
      <c r="G1341" s="3"/>
      <c r="H1341" s="1"/>
      <c r="I1341" s="1"/>
      <c r="J1341" s="1"/>
      <c r="K1341" s="1"/>
      <c r="L1341" s="1"/>
      <c r="Q1341" s="8"/>
    </row>
    <row r="1342" spans="5:17">
      <c r="E1342" s="1"/>
      <c r="F1342" s="1"/>
      <c r="G1342" s="3"/>
      <c r="H1342" s="1"/>
      <c r="I1342" s="1"/>
      <c r="J1342" s="1"/>
      <c r="K1342" s="1"/>
      <c r="L1342" s="1"/>
      <c r="Q1342" s="8"/>
    </row>
    <row r="1343" spans="5:17">
      <c r="E1343" s="1"/>
      <c r="F1343" s="1"/>
      <c r="G1343" s="3"/>
      <c r="H1343" s="1"/>
      <c r="I1343" s="1"/>
      <c r="J1343" s="1"/>
      <c r="K1343" s="1"/>
      <c r="L1343" s="1"/>
      <c r="Q1343" s="8"/>
    </row>
    <row r="1344" spans="5:17">
      <c r="E1344" s="1"/>
      <c r="F1344" s="1"/>
      <c r="G1344" s="3"/>
      <c r="H1344" s="1"/>
      <c r="I1344" s="1"/>
      <c r="J1344" s="1"/>
      <c r="K1344" s="1"/>
      <c r="L1344" s="1"/>
      <c r="Q1344" s="8"/>
    </row>
    <row r="1345" spans="5:17">
      <c r="E1345" s="1"/>
      <c r="F1345" s="1"/>
      <c r="G1345" s="3"/>
      <c r="H1345" s="1"/>
      <c r="I1345" s="1"/>
      <c r="J1345" s="1"/>
      <c r="K1345" s="1"/>
      <c r="L1345" s="1"/>
      <c r="Q1345" s="8"/>
    </row>
    <row r="1346" spans="5:17">
      <c r="E1346" s="1"/>
      <c r="F1346" s="1"/>
      <c r="G1346" s="3"/>
      <c r="H1346" s="1"/>
      <c r="I1346" s="1"/>
      <c r="J1346" s="1"/>
      <c r="K1346" s="1"/>
      <c r="L1346" s="1"/>
      <c r="Q1346" s="8"/>
    </row>
    <row r="1347" spans="5:17">
      <c r="E1347" s="1"/>
      <c r="F1347" s="1"/>
      <c r="G1347" s="3"/>
      <c r="H1347" s="1"/>
      <c r="I1347" s="1"/>
      <c r="J1347" s="1"/>
      <c r="K1347" s="1"/>
      <c r="L1347" s="1"/>
      <c r="Q1347" s="8"/>
    </row>
    <row r="1348" spans="5:17">
      <c r="E1348" s="1"/>
      <c r="F1348" s="1"/>
      <c r="G1348" s="3"/>
      <c r="H1348" s="1"/>
      <c r="I1348" s="1"/>
      <c r="J1348" s="1"/>
      <c r="K1348" s="1"/>
      <c r="L1348" s="1"/>
      <c r="Q1348" s="8"/>
    </row>
    <row r="1349" spans="5:17">
      <c r="E1349" s="1"/>
      <c r="F1349" s="1"/>
      <c r="G1349" s="3"/>
      <c r="H1349" s="1"/>
      <c r="I1349" s="1"/>
      <c r="J1349" s="1"/>
      <c r="K1349" s="1"/>
      <c r="L1349" s="1"/>
      <c r="Q1349" s="8"/>
    </row>
    <row r="1350" spans="5:17">
      <c r="E1350" s="1"/>
      <c r="F1350" s="1"/>
      <c r="G1350" s="3"/>
      <c r="H1350" s="1"/>
      <c r="I1350" s="1"/>
      <c r="J1350" s="1"/>
      <c r="K1350" s="1"/>
      <c r="L1350" s="1"/>
      <c r="Q1350" s="8"/>
    </row>
    <row r="1351" spans="5:17">
      <c r="E1351" s="1"/>
      <c r="F1351" s="1"/>
      <c r="G1351" s="3"/>
      <c r="H1351" s="1"/>
      <c r="I1351" s="1"/>
      <c r="J1351" s="1"/>
      <c r="K1351" s="1"/>
      <c r="L1351" s="1"/>
      <c r="Q1351" s="8"/>
    </row>
    <row r="1352" spans="5:17">
      <c r="E1352" s="1"/>
      <c r="F1352" s="1"/>
      <c r="G1352" s="3"/>
      <c r="H1352" s="1"/>
      <c r="I1352" s="1"/>
      <c r="J1352" s="1"/>
      <c r="K1352" s="1"/>
      <c r="L1352" s="1"/>
      <c r="Q1352" s="8"/>
    </row>
    <row r="1353" spans="5:17">
      <c r="E1353" s="1"/>
      <c r="F1353" s="1"/>
      <c r="G1353" s="3"/>
      <c r="H1353" s="1"/>
      <c r="I1353" s="1"/>
      <c r="J1353" s="1"/>
      <c r="K1353" s="1"/>
      <c r="L1353" s="1"/>
      <c r="Q1353" s="8"/>
    </row>
    <row r="1354" spans="5:17">
      <c r="E1354" s="1"/>
      <c r="F1354" s="1"/>
      <c r="G1354" s="3"/>
      <c r="H1354" s="1"/>
      <c r="I1354" s="1"/>
      <c r="J1354" s="1"/>
      <c r="K1354" s="1"/>
      <c r="L1354" s="1"/>
      <c r="Q1354" s="8"/>
    </row>
    <row r="1355" spans="5:17">
      <c r="E1355" s="1"/>
      <c r="F1355" s="1"/>
      <c r="G1355" s="3"/>
      <c r="H1355" s="1"/>
      <c r="I1355" s="1"/>
      <c r="J1355" s="1"/>
      <c r="K1355" s="1"/>
      <c r="L1355" s="1"/>
      <c r="Q1355" s="8"/>
    </row>
    <row r="1356" spans="5:17">
      <c r="E1356" s="1"/>
      <c r="F1356" s="1"/>
      <c r="G1356" s="3"/>
      <c r="H1356" s="1"/>
      <c r="I1356" s="1"/>
      <c r="J1356" s="1"/>
      <c r="K1356" s="1"/>
      <c r="L1356" s="1"/>
      <c r="Q1356" s="8"/>
    </row>
    <row r="1357" spans="5:17">
      <c r="E1357" s="1"/>
      <c r="F1357" s="1"/>
      <c r="G1357" s="3"/>
      <c r="H1357" s="1"/>
      <c r="I1357" s="1"/>
      <c r="J1357" s="1"/>
      <c r="K1357" s="1"/>
      <c r="L1357" s="1"/>
      <c r="Q1357" s="8"/>
    </row>
    <row r="1358" spans="5:17">
      <c r="E1358" s="1"/>
      <c r="F1358" s="1"/>
      <c r="G1358" s="3"/>
      <c r="H1358" s="1"/>
      <c r="I1358" s="1"/>
      <c r="J1358" s="1"/>
      <c r="K1358" s="1"/>
      <c r="L1358" s="1"/>
      <c r="Q1358" s="8"/>
    </row>
    <row r="1359" spans="5:17">
      <c r="E1359" s="1"/>
      <c r="F1359" s="1"/>
      <c r="G1359" s="3"/>
      <c r="H1359" s="1"/>
      <c r="I1359" s="1"/>
      <c r="J1359" s="1"/>
      <c r="K1359" s="1"/>
      <c r="L1359" s="1"/>
      <c r="Q1359" s="8"/>
    </row>
    <row r="1360" spans="5:17">
      <c r="E1360" s="1"/>
      <c r="F1360" s="1"/>
      <c r="G1360" s="3"/>
      <c r="H1360" s="1"/>
      <c r="I1360" s="1"/>
      <c r="J1360" s="1"/>
      <c r="K1360" s="1"/>
      <c r="L1360" s="1"/>
      <c r="Q1360" s="8"/>
    </row>
    <row r="1361" spans="5:17">
      <c r="E1361" s="1"/>
      <c r="F1361" s="1"/>
      <c r="G1361" s="3"/>
      <c r="H1361" s="1"/>
      <c r="I1361" s="1"/>
      <c r="J1361" s="1"/>
      <c r="K1361" s="1"/>
      <c r="L1361" s="1"/>
      <c r="Q1361" s="8"/>
    </row>
    <row r="1362" spans="5:17">
      <c r="E1362" s="1"/>
      <c r="F1362" s="1"/>
      <c r="G1362" s="3"/>
      <c r="H1362" s="1"/>
      <c r="I1362" s="1"/>
      <c r="J1362" s="1"/>
      <c r="K1362" s="1"/>
      <c r="L1362" s="1"/>
      <c r="Q1362" s="8"/>
    </row>
    <row r="1363" spans="5:17">
      <c r="E1363" s="1"/>
      <c r="F1363" s="1"/>
      <c r="G1363" s="3"/>
      <c r="H1363" s="1"/>
      <c r="I1363" s="1"/>
      <c r="J1363" s="1"/>
      <c r="K1363" s="1"/>
      <c r="L1363" s="1"/>
      <c r="Q1363" s="8"/>
    </row>
    <row r="1364" spans="5:17">
      <c r="E1364" s="1"/>
      <c r="F1364" s="1"/>
      <c r="G1364" s="3"/>
      <c r="H1364" s="1"/>
      <c r="I1364" s="1"/>
      <c r="J1364" s="1"/>
      <c r="K1364" s="1"/>
      <c r="L1364" s="1"/>
      <c r="Q1364" s="8"/>
    </row>
    <row r="1365" spans="5:17">
      <c r="E1365" s="1"/>
      <c r="F1365" s="1"/>
      <c r="G1365" s="3"/>
      <c r="H1365" s="1"/>
      <c r="I1365" s="1"/>
      <c r="J1365" s="1"/>
      <c r="K1365" s="1"/>
      <c r="L1365" s="1"/>
      <c r="Q1365" s="8"/>
    </row>
    <row r="1366" spans="5:17">
      <c r="E1366" s="1"/>
      <c r="F1366" s="1"/>
      <c r="G1366" s="3"/>
      <c r="H1366" s="1"/>
      <c r="I1366" s="1"/>
      <c r="J1366" s="1"/>
      <c r="K1366" s="1"/>
      <c r="L1366" s="1"/>
      <c r="Q1366" s="8"/>
    </row>
    <row r="1367" spans="5:17">
      <c r="E1367" s="1"/>
      <c r="F1367" s="1"/>
      <c r="G1367" s="3"/>
      <c r="H1367" s="1"/>
      <c r="I1367" s="1"/>
      <c r="J1367" s="1"/>
      <c r="K1367" s="1"/>
      <c r="L1367" s="1"/>
      <c r="Q1367" s="8"/>
    </row>
    <row r="1368" spans="5:17">
      <c r="E1368" s="1"/>
      <c r="F1368" s="1"/>
      <c r="G1368" s="3"/>
      <c r="H1368" s="1"/>
      <c r="I1368" s="1"/>
      <c r="J1368" s="1"/>
      <c r="K1368" s="1"/>
      <c r="L1368" s="1"/>
      <c r="Q1368" s="8"/>
    </row>
    <row r="1369" spans="5:17">
      <c r="E1369" s="1"/>
      <c r="F1369" s="1"/>
      <c r="G1369" s="3"/>
      <c r="H1369" s="1"/>
      <c r="I1369" s="1"/>
      <c r="J1369" s="1"/>
      <c r="K1369" s="1"/>
      <c r="L1369" s="1"/>
      <c r="Q1369" s="8"/>
    </row>
    <row r="1370" spans="5:17">
      <c r="E1370" s="1"/>
      <c r="F1370" s="1"/>
      <c r="G1370" s="3"/>
      <c r="H1370" s="1"/>
      <c r="I1370" s="1"/>
      <c r="J1370" s="1"/>
      <c r="K1370" s="1"/>
      <c r="L1370" s="1"/>
      <c r="Q1370" s="8"/>
    </row>
    <row r="1371" spans="5:17">
      <c r="E1371" s="1"/>
      <c r="F1371" s="1"/>
      <c r="G1371" s="3"/>
      <c r="H1371" s="1"/>
      <c r="I1371" s="1"/>
      <c r="J1371" s="1"/>
      <c r="K1371" s="1"/>
      <c r="L1371" s="1"/>
      <c r="Q1371" s="8"/>
    </row>
    <row r="1372" spans="5:17">
      <c r="E1372" s="1"/>
      <c r="F1372" s="1"/>
      <c r="G1372" s="3"/>
      <c r="H1372" s="1"/>
      <c r="I1372" s="1"/>
      <c r="J1372" s="1"/>
      <c r="K1372" s="1"/>
      <c r="L1372" s="1"/>
      <c r="Q1372" s="8"/>
    </row>
    <row r="1373" spans="5:17">
      <c r="E1373" s="1"/>
      <c r="F1373" s="1"/>
      <c r="G1373" s="3"/>
      <c r="H1373" s="1"/>
      <c r="I1373" s="1"/>
      <c r="J1373" s="1"/>
      <c r="K1373" s="1"/>
      <c r="L1373" s="1"/>
      <c r="Q1373" s="8"/>
    </row>
    <row r="1374" spans="5:17">
      <c r="E1374" s="1"/>
      <c r="F1374" s="1"/>
      <c r="G1374" s="3"/>
      <c r="H1374" s="1"/>
      <c r="I1374" s="1"/>
      <c r="J1374" s="1"/>
      <c r="K1374" s="1"/>
      <c r="L1374" s="1"/>
      <c r="Q1374" s="8"/>
    </row>
    <row r="1375" spans="5:17">
      <c r="E1375" s="1"/>
      <c r="F1375" s="1"/>
      <c r="G1375" s="3"/>
      <c r="H1375" s="1"/>
      <c r="I1375" s="1"/>
      <c r="J1375" s="1"/>
      <c r="K1375" s="1"/>
      <c r="L1375" s="1"/>
      <c r="Q1375" s="8"/>
    </row>
    <row r="1376" spans="5:17">
      <c r="E1376" s="1"/>
      <c r="F1376" s="1"/>
      <c r="G1376" s="3"/>
      <c r="H1376" s="1"/>
      <c r="I1376" s="1"/>
      <c r="J1376" s="1"/>
      <c r="K1376" s="1"/>
      <c r="L1376" s="1"/>
      <c r="Q1376" s="8"/>
    </row>
    <row r="1377" spans="5:17">
      <c r="E1377" s="1"/>
      <c r="F1377" s="1"/>
      <c r="G1377" s="3"/>
      <c r="H1377" s="1"/>
      <c r="I1377" s="1"/>
      <c r="J1377" s="1"/>
      <c r="K1377" s="1"/>
      <c r="L1377" s="1"/>
      <c r="Q1377" s="8"/>
    </row>
    <row r="1378" spans="5:17">
      <c r="E1378" s="1"/>
      <c r="F1378" s="1"/>
      <c r="G1378" s="3"/>
      <c r="H1378" s="1"/>
      <c r="I1378" s="1"/>
      <c r="J1378" s="1"/>
      <c r="K1378" s="1"/>
      <c r="L1378" s="1"/>
      <c r="Q1378" s="8"/>
    </row>
    <row r="1379" spans="5:17">
      <c r="E1379" s="1"/>
      <c r="F1379" s="1"/>
      <c r="G1379" s="3"/>
      <c r="H1379" s="1"/>
      <c r="I1379" s="1"/>
      <c r="J1379" s="1"/>
      <c r="K1379" s="1"/>
      <c r="L1379" s="1"/>
      <c r="Q1379" s="8"/>
    </row>
    <row r="1380" spans="5:17">
      <c r="E1380" s="1"/>
      <c r="F1380" s="1"/>
      <c r="G1380" s="3"/>
      <c r="H1380" s="1"/>
      <c r="I1380" s="1"/>
      <c r="J1380" s="1"/>
      <c r="K1380" s="1"/>
      <c r="L1380" s="1"/>
      <c r="Q1380" s="8"/>
    </row>
    <row r="1381" spans="5:17">
      <c r="E1381" s="1"/>
      <c r="F1381" s="1"/>
      <c r="G1381" s="3"/>
      <c r="H1381" s="1"/>
      <c r="I1381" s="1"/>
      <c r="J1381" s="1"/>
      <c r="K1381" s="1"/>
      <c r="L1381" s="1"/>
      <c r="Q1381" s="8"/>
    </row>
    <row r="1382" spans="5:17">
      <c r="E1382" s="1"/>
      <c r="F1382" s="1"/>
      <c r="G1382" s="3"/>
      <c r="H1382" s="1"/>
      <c r="I1382" s="1"/>
      <c r="J1382" s="1"/>
      <c r="K1382" s="1"/>
      <c r="L1382" s="1"/>
      <c r="Q1382" s="8"/>
    </row>
    <row r="1383" spans="5:17">
      <c r="E1383" s="1"/>
      <c r="F1383" s="1"/>
      <c r="G1383" s="3"/>
      <c r="H1383" s="1"/>
      <c r="I1383" s="1"/>
      <c r="J1383" s="1"/>
      <c r="K1383" s="1"/>
      <c r="L1383" s="1"/>
      <c r="Q1383" s="8"/>
    </row>
    <row r="1384" spans="5:17">
      <c r="E1384" s="1"/>
      <c r="F1384" s="1"/>
      <c r="G1384" s="3"/>
      <c r="H1384" s="1"/>
      <c r="I1384" s="1"/>
      <c r="J1384" s="1"/>
      <c r="K1384" s="1"/>
      <c r="L1384" s="1"/>
      <c r="Q1384" s="8"/>
    </row>
    <row r="1385" spans="5:17">
      <c r="E1385" s="1"/>
      <c r="F1385" s="1"/>
      <c r="G1385" s="3"/>
      <c r="H1385" s="1"/>
      <c r="I1385" s="1"/>
      <c r="J1385" s="1"/>
      <c r="K1385" s="1"/>
      <c r="L1385" s="1"/>
      <c r="Q1385" s="8"/>
    </row>
    <row r="1386" spans="5:17">
      <c r="E1386" s="1"/>
      <c r="F1386" s="1"/>
      <c r="G1386" s="3"/>
      <c r="H1386" s="1"/>
      <c r="I1386" s="1"/>
      <c r="J1386" s="1"/>
      <c r="K1386" s="1"/>
      <c r="L1386" s="1"/>
      <c r="Q1386" s="8"/>
    </row>
    <row r="1387" spans="5:17">
      <c r="E1387" s="1"/>
      <c r="F1387" s="1"/>
      <c r="G1387" s="3"/>
      <c r="H1387" s="1"/>
      <c r="I1387" s="1"/>
      <c r="J1387" s="1"/>
      <c r="K1387" s="1"/>
      <c r="L1387" s="1"/>
      <c r="Q1387" s="8"/>
    </row>
    <row r="1388" spans="5:17">
      <c r="E1388" s="1"/>
      <c r="F1388" s="1"/>
      <c r="G1388" s="3"/>
      <c r="H1388" s="1"/>
      <c r="I1388" s="1"/>
      <c r="J1388" s="1"/>
      <c r="K1388" s="1"/>
      <c r="L1388" s="1"/>
      <c r="Q1388" s="8"/>
    </row>
    <row r="1389" spans="5:17">
      <c r="E1389" s="1"/>
      <c r="F1389" s="1"/>
      <c r="G1389" s="3"/>
      <c r="H1389" s="1"/>
      <c r="I1389" s="1"/>
      <c r="J1389" s="1"/>
      <c r="K1389" s="1"/>
      <c r="L1389" s="1"/>
      <c r="Q1389" s="8"/>
    </row>
    <row r="1390" spans="5:17">
      <c r="E1390" s="1"/>
      <c r="F1390" s="1"/>
      <c r="G1390" s="3"/>
      <c r="H1390" s="1"/>
      <c r="I1390" s="1"/>
      <c r="J1390" s="1"/>
      <c r="K1390" s="1"/>
      <c r="L1390" s="1"/>
      <c r="Q1390" s="8"/>
    </row>
    <row r="1391" spans="5:17">
      <c r="E1391" s="1"/>
      <c r="F1391" s="1"/>
      <c r="G1391" s="3"/>
      <c r="H1391" s="1"/>
      <c r="I1391" s="1"/>
      <c r="J1391" s="1"/>
      <c r="K1391" s="1"/>
      <c r="L1391" s="1"/>
      <c r="Q1391" s="8"/>
    </row>
    <row r="1392" spans="5:17">
      <c r="E1392" s="1"/>
      <c r="F1392" s="1"/>
      <c r="G1392" s="3"/>
      <c r="H1392" s="1"/>
      <c r="I1392" s="1"/>
      <c r="J1392" s="1"/>
      <c r="K1392" s="1"/>
      <c r="L1392" s="1"/>
      <c r="Q1392" s="8"/>
    </row>
    <row r="1393" spans="5:17">
      <c r="E1393" s="1"/>
      <c r="F1393" s="1"/>
      <c r="G1393" s="3"/>
      <c r="H1393" s="1"/>
      <c r="I1393" s="1"/>
      <c r="J1393" s="1"/>
      <c r="K1393" s="1"/>
      <c r="L1393" s="1"/>
      <c r="Q1393" s="8"/>
    </row>
    <row r="1394" spans="5:17">
      <c r="E1394" s="1"/>
      <c r="F1394" s="1"/>
      <c r="G1394" s="3"/>
      <c r="H1394" s="1"/>
      <c r="I1394" s="1"/>
      <c r="J1394" s="1"/>
      <c r="K1394" s="1"/>
      <c r="L1394" s="1"/>
      <c r="Q1394" s="8"/>
    </row>
    <row r="1395" spans="5:17">
      <c r="E1395" s="1"/>
      <c r="F1395" s="1"/>
      <c r="G1395" s="3"/>
      <c r="H1395" s="1"/>
      <c r="I1395" s="1"/>
      <c r="J1395" s="1"/>
      <c r="K1395" s="1"/>
      <c r="L1395" s="1"/>
      <c r="Q1395" s="8"/>
    </row>
    <row r="1396" spans="5:17">
      <c r="E1396" s="1"/>
      <c r="F1396" s="1"/>
      <c r="G1396" s="3"/>
      <c r="H1396" s="1"/>
      <c r="I1396" s="1"/>
      <c r="J1396" s="1"/>
      <c r="K1396" s="1"/>
      <c r="L1396" s="1"/>
      <c r="Q1396" s="8"/>
    </row>
    <row r="1397" spans="5:17">
      <c r="E1397" s="1"/>
      <c r="F1397" s="1"/>
      <c r="G1397" s="3"/>
      <c r="H1397" s="1"/>
      <c r="I1397" s="1"/>
      <c r="J1397" s="1"/>
      <c r="K1397" s="1"/>
      <c r="L1397" s="1"/>
      <c r="Q1397" s="8"/>
    </row>
    <row r="1398" spans="5:17">
      <c r="E1398" s="1"/>
      <c r="F1398" s="1"/>
      <c r="G1398" s="3"/>
      <c r="H1398" s="1"/>
      <c r="I1398" s="1"/>
      <c r="J1398" s="1"/>
      <c r="K1398" s="1"/>
      <c r="L1398" s="1"/>
      <c r="Q1398" s="8"/>
    </row>
    <row r="1399" spans="5:17">
      <c r="E1399" s="1"/>
      <c r="F1399" s="1"/>
      <c r="G1399" s="3"/>
      <c r="H1399" s="1"/>
      <c r="I1399" s="1"/>
      <c r="J1399" s="1"/>
      <c r="K1399" s="1"/>
      <c r="L1399" s="1"/>
      <c r="Q1399" s="8"/>
    </row>
    <row r="1400" spans="5:17">
      <c r="E1400" s="1"/>
      <c r="F1400" s="1"/>
      <c r="G1400" s="3"/>
      <c r="H1400" s="1"/>
      <c r="I1400" s="1"/>
      <c r="J1400" s="1"/>
      <c r="K1400" s="1"/>
      <c r="L1400" s="1"/>
      <c r="Q1400" s="8"/>
    </row>
    <row r="1401" spans="5:17">
      <c r="E1401" s="1"/>
      <c r="F1401" s="1"/>
      <c r="G1401" s="3"/>
      <c r="H1401" s="1"/>
      <c r="I1401" s="1"/>
      <c r="J1401" s="1"/>
      <c r="K1401" s="1"/>
      <c r="L1401" s="1"/>
      <c r="Q1401" s="8"/>
    </row>
    <row r="1402" spans="5:17">
      <c r="E1402" s="1"/>
      <c r="F1402" s="1"/>
      <c r="G1402" s="3"/>
      <c r="H1402" s="1"/>
      <c r="I1402" s="1"/>
      <c r="J1402" s="1"/>
      <c r="K1402" s="1"/>
      <c r="L1402" s="1"/>
      <c r="Q1402" s="8"/>
    </row>
    <row r="1403" spans="5:17">
      <c r="E1403" s="1"/>
      <c r="F1403" s="1"/>
      <c r="G1403" s="3"/>
      <c r="H1403" s="1"/>
      <c r="I1403" s="1"/>
      <c r="J1403" s="1"/>
      <c r="K1403" s="1"/>
      <c r="L1403" s="1"/>
      <c r="Q1403" s="8"/>
    </row>
    <row r="1404" spans="5:17">
      <c r="E1404" s="1"/>
      <c r="F1404" s="1"/>
      <c r="G1404" s="3"/>
      <c r="H1404" s="1"/>
      <c r="I1404" s="1"/>
      <c r="J1404" s="1"/>
      <c r="K1404" s="1"/>
      <c r="L1404" s="1"/>
      <c r="Q1404" s="8"/>
    </row>
    <row r="1405" spans="5:17">
      <c r="E1405" s="1"/>
      <c r="F1405" s="1"/>
      <c r="G1405" s="3"/>
      <c r="H1405" s="1"/>
      <c r="I1405" s="1"/>
      <c r="J1405" s="1"/>
      <c r="K1405" s="1"/>
      <c r="L1405" s="1"/>
      <c r="Q1405" s="8"/>
    </row>
    <row r="1406" spans="5:17">
      <c r="E1406" s="1"/>
      <c r="F1406" s="1"/>
      <c r="G1406" s="3"/>
      <c r="H1406" s="1"/>
      <c r="I1406" s="1"/>
      <c r="J1406" s="1"/>
      <c r="K1406" s="1"/>
      <c r="L1406" s="1"/>
      <c r="Q1406" s="8"/>
    </row>
    <row r="1407" spans="5:17">
      <c r="E1407" s="1"/>
      <c r="F1407" s="1"/>
      <c r="G1407" s="3"/>
      <c r="H1407" s="1"/>
      <c r="I1407" s="1"/>
      <c r="J1407" s="1"/>
      <c r="K1407" s="1"/>
      <c r="L1407" s="1"/>
      <c r="Q1407" s="8"/>
    </row>
    <row r="1408" spans="5:17">
      <c r="E1408" s="1"/>
      <c r="F1408" s="1"/>
      <c r="G1408" s="3"/>
      <c r="H1408" s="1"/>
      <c r="I1408" s="1"/>
      <c r="J1408" s="1"/>
      <c r="K1408" s="1"/>
      <c r="L1408" s="1"/>
      <c r="Q1408" s="8"/>
    </row>
    <row r="1409" spans="5:17">
      <c r="E1409" s="1"/>
      <c r="F1409" s="1"/>
      <c r="G1409" s="3"/>
      <c r="H1409" s="1"/>
      <c r="I1409" s="1"/>
      <c r="J1409" s="1"/>
      <c r="K1409" s="1"/>
      <c r="L1409" s="1"/>
      <c r="Q1409" s="8"/>
    </row>
    <row r="1410" spans="5:17">
      <c r="E1410" s="1"/>
      <c r="F1410" s="1"/>
      <c r="G1410" s="3"/>
      <c r="H1410" s="1"/>
      <c r="I1410" s="1"/>
      <c r="J1410" s="1"/>
      <c r="K1410" s="1"/>
      <c r="L1410" s="1"/>
      <c r="Q1410" s="8"/>
    </row>
    <row r="1411" spans="5:17">
      <c r="E1411" s="1"/>
      <c r="F1411" s="1"/>
      <c r="G1411" s="3"/>
      <c r="H1411" s="1"/>
      <c r="I1411" s="1"/>
      <c r="J1411" s="1"/>
      <c r="K1411" s="1"/>
      <c r="L1411" s="1"/>
      <c r="Q1411" s="8"/>
    </row>
    <row r="1412" spans="5:17">
      <c r="E1412" s="1"/>
      <c r="F1412" s="1"/>
      <c r="G1412" s="3"/>
      <c r="H1412" s="1"/>
      <c r="I1412" s="1"/>
      <c r="J1412" s="1"/>
      <c r="K1412" s="1"/>
      <c r="L1412" s="1"/>
      <c r="Q1412" s="8"/>
    </row>
    <row r="1413" spans="5:17">
      <c r="E1413" s="1"/>
      <c r="F1413" s="1"/>
      <c r="G1413" s="3"/>
      <c r="H1413" s="1"/>
      <c r="I1413" s="1"/>
      <c r="J1413" s="1"/>
      <c r="K1413" s="1"/>
      <c r="L1413" s="1"/>
      <c r="Q1413" s="8"/>
    </row>
    <row r="1414" spans="5:17">
      <c r="E1414" s="1"/>
      <c r="F1414" s="1"/>
      <c r="G1414" s="3"/>
      <c r="H1414" s="1"/>
      <c r="I1414" s="1"/>
      <c r="J1414" s="1"/>
      <c r="K1414" s="1"/>
      <c r="L1414" s="1"/>
      <c r="Q1414" s="8"/>
    </row>
    <row r="1415" spans="5:17">
      <c r="E1415" s="1"/>
      <c r="F1415" s="1"/>
      <c r="G1415" s="3"/>
      <c r="H1415" s="1"/>
      <c r="I1415" s="1"/>
      <c r="J1415" s="1"/>
      <c r="K1415" s="1"/>
      <c r="L1415" s="1"/>
      <c r="Q1415" s="8"/>
    </row>
    <row r="1416" spans="5:17">
      <c r="E1416" s="1"/>
      <c r="F1416" s="1"/>
      <c r="G1416" s="3"/>
      <c r="H1416" s="1"/>
      <c r="I1416" s="1"/>
      <c r="J1416" s="1"/>
      <c r="K1416" s="1"/>
      <c r="L1416" s="1"/>
      <c r="Q1416" s="8"/>
    </row>
    <row r="1417" spans="5:17">
      <c r="E1417" s="1"/>
      <c r="F1417" s="1"/>
      <c r="G1417" s="3"/>
      <c r="H1417" s="1"/>
      <c r="I1417" s="1"/>
      <c r="J1417" s="1"/>
      <c r="K1417" s="1"/>
      <c r="L1417" s="1"/>
      <c r="Q1417" s="8"/>
    </row>
    <row r="1418" spans="5:17">
      <c r="E1418" s="1"/>
      <c r="F1418" s="1"/>
      <c r="G1418" s="3"/>
      <c r="H1418" s="1"/>
      <c r="I1418" s="1"/>
      <c r="J1418" s="1"/>
      <c r="K1418" s="1"/>
      <c r="L1418" s="1"/>
      <c r="Q1418" s="8"/>
    </row>
    <row r="1419" spans="5:17">
      <c r="E1419" s="1"/>
      <c r="F1419" s="1"/>
      <c r="G1419" s="3"/>
      <c r="H1419" s="1"/>
      <c r="I1419" s="1"/>
      <c r="J1419" s="1"/>
      <c r="K1419" s="1"/>
      <c r="L1419" s="1"/>
      <c r="Q1419" s="8"/>
    </row>
    <row r="1420" spans="5:17">
      <c r="E1420" s="1"/>
      <c r="F1420" s="1"/>
      <c r="G1420" s="3"/>
      <c r="H1420" s="1"/>
      <c r="I1420" s="1"/>
      <c r="J1420" s="1"/>
      <c r="K1420" s="1"/>
      <c r="L1420" s="1"/>
      <c r="Q1420" s="8"/>
    </row>
    <row r="1421" spans="5:17">
      <c r="E1421" s="1"/>
      <c r="F1421" s="1"/>
      <c r="G1421" s="3"/>
      <c r="H1421" s="1"/>
      <c r="I1421" s="1"/>
      <c r="J1421" s="1"/>
      <c r="K1421" s="1"/>
      <c r="L1421" s="1"/>
      <c r="Q1421" s="8"/>
    </row>
    <row r="1422" spans="5:17">
      <c r="E1422" s="1"/>
      <c r="F1422" s="1"/>
      <c r="G1422" s="3"/>
      <c r="H1422" s="1"/>
      <c r="I1422" s="1"/>
      <c r="J1422" s="1"/>
      <c r="K1422" s="1"/>
      <c r="L1422" s="1"/>
      <c r="Q1422" s="8"/>
    </row>
    <row r="1423" spans="5:17">
      <c r="E1423" s="1"/>
      <c r="F1423" s="1"/>
      <c r="G1423" s="3"/>
      <c r="H1423" s="1"/>
      <c r="I1423" s="1"/>
      <c r="J1423" s="1"/>
      <c r="K1423" s="1"/>
      <c r="L1423" s="1"/>
      <c r="Q1423" s="8"/>
    </row>
    <row r="1424" spans="5:17">
      <c r="E1424" s="1"/>
      <c r="F1424" s="1"/>
      <c r="G1424" s="3"/>
      <c r="H1424" s="1"/>
      <c r="I1424" s="1"/>
      <c r="J1424" s="1"/>
      <c r="K1424" s="1"/>
      <c r="L1424" s="1"/>
      <c r="Q1424" s="8"/>
    </row>
    <row r="1425" spans="5:17">
      <c r="E1425" s="1"/>
      <c r="F1425" s="1"/>
      <c r="G1425" s="3"/>
      <c r="H1425" s="1"/>
      <c r="I1425" s="1"/>
      <c r="J1425" s="1"/>
      <c r="K1425" s="1"/>
      <c r="L1425" s="1"/>
      <c r="Q1425" s="8"/>
    </row>
    <row r="1426" spans="5:17">
      <c r="E1426" s="1"/>
      <c r="F1426" s="1"/>
      <c r="G1426" s="3"/>
      <c r="H1426" s="1"/>
      <c r="I1426" s="1"/>
      <c r="J1426" s="1"/>
      <c r="K1426" s="1"/>
      <c r="L1426" s="1"/>
      <c r="Q1426" s="8"/>
    </row>
    <row r="1427" spans="5:17">
      <c r="E1427" s="1"/>
      <c r="F1427" s="1"/>
      <c r="G1427" s="3"/>
      <c r="H1427" s="1"/>
      <c r="I1427" s="1"/>
      <c r="J1427" s="1"/>
      <c r="K1427" s="1"/>
      <c r="L1427" s="1"/>
      <c r="Q1427" s="8"/>
    </row>
    <row r="1428" spans="5:17">
      <c r="E1428" s="1"/>
      <c r="F1428" s="1"/>
      <c r="G1428" s="3"/>
      <c r="H1428" s="1"/>
      <c r="I1428" s="1"/>
      <c r="J1428" s="1"/>
      <c r="K1428" s="1"/>
      <c r="L1428" s="1"/>
      <c r="Q1428" s="8"/>
    </row>
    <row r="1429" spans="5:17">
      <c r="E1429" s="1"/>
      <c r="F1429" s="1"/>
      <c r="G1429" s="3"/>
      <c r="H1429" s="1"/>
      <c r="I1429" s="1"/>
      <c r="J1429" s="1"/>
      <c r="K1429" s="1"/>
      <c r="L1429" s="1"/>
      <c r="Q1429" s="8"/>
    </row>
    <row r="1430" spans="5:17">
      <c r="E1430" s="1"/>
      <c r="F1430" s="1"/>
      <c r="G1430" s="3"/>
      <c r="H1430" s="1"/>
      <c r="I1430" s="1"/>
      <c r="J1430" s="1"/>
      <c r="K1430" s="1"/>
      <c r="L1430" s="1"/>
      <c r="Q1430" s="8"/>
    </row>
    <row r="1431" spans="5:17">
      <c r="E1431" s="1"/>
      <c r="F1431" s="1"/>
      <c r="G1431" s="3"/>
      <c r="H1431" s="1"/>
      <c r="I1431" s="1"/>
      <c r="J1431" s="1"/>
      <c r="K1431" s="1"/>
      <c r="L1431" s="1"/>
      <c r="Q1431" s="8"/>
    </row>
    <row r="1432" spans="5:17">
      <c r="E1432" s="1"/>
      <c r="F1432" s="1"/>
      <c r="G1432" s="3"/>
      <c r="H1432" s="1"/>
      <c r="I1432" s="1"/>
      <c r="J1432" s="1"/>
      <c r="K1432" s="1"/>
      <c r="L1432" s="1"/>
      <c r="Q1432" s="8"/>
    </row>
    <row r="1433" spans="5:17">
      <c r="E1433" s="1"/>
      <c r="F1433" s="1"/>
      <c r="G1433" s="3"/>
      <c r="H1433" s="1"/>
      <c r="I1433" s="1"/>
      <c r="J1433" s="1"/>
      <c r="K1433" s="1"/>
      <c r="L1433" s="1"/>
      <c r="Q1433" s="8"/>
    </row>
    <row r="1434" spans="5:17">
      <c r="E1434" s="1"/>
      <c r="F1434" s="1"/>
      <c r="G1434" s="3"/>
      <c r="H1434" s="1"/>
      <c r="I1434" s="1"/>
      <c r="J1434" s="1"/>
      <c r="K1434" s="1"/>
      <c r="L1434" s="1"/>
      <c r="Q1434" s="8"/>
    </row>
    <row r="1435" spans="5:17">
      <c r="E1435" s="1"/>
      <c r="F1435" s="1"/>
      <c r="G1435" s="3"/>
      <c r="H1435" s="1"/>
      <c r="I1435" s="1"/>
      <c r="J1435" s="1"/>
      <c r="K1435" s="1"/>
      <c r="L1435" s="1"/>
      <c r="Q1435" s="8"/>
    </row>
    <row r="1436" spans="5:17">
      <c r="E1436" s="1"/>
      <c r="F1436" s="1"/>
      <c r="G1436" s="3"/>
      <c r="H1436" s="1"/>
      <c r="I1436" s="1"/>
      <c r="J1436" s="1"/>
      <c r="K1436" s="1"/>
      <c r="L1436" s="1"/>
      <c r="Q1436" s="8"/>
    </row>
    <row r="1437" spans="5:17">
      <c r="E1437" s="1"/>
      <c r="F1437" s="1"/>
      <c r="G1437" s="3"/>
      <c r="H1437" s="1"/>
      <c r="I1437" s="1"/>
      <c r="J1437" s="1"/>
      <c r="K1437" s="1"/>
      <c r="L1437" s="1"/>
      <c r="Q1437" s="8"/>
    </row>
    <row r="1438" spans="5:17">
      <c r="E1438" s="1"/>
      <c r="F1438" s="1"/>
      <c r="G1438" s="3"/>
      <c r="H1438" s="1"/>
      <c r="I1438" s="1"/>
      <c r="J1438" s="1"/>
      <c r="K1438" s="1"/>
      <c r="L1438" s="1"/>
      <c r="Q1438" s="8"/>
    </row>
    <row r="1439" spans="5:17">
      <c r="E1439" s="1"/>
      <c r="F1439" s="1"/>
      <c r="G1439" s="3"/>
      <c r="H1439" s="1"/>
      <c r="I1439" s="1"/>
      <c r="J1439" s="1"/>
      <c r="K1439" s="1"/>
      <c r="L1439" s="1"/>
      <c r="Q1439" s="8"/>
    </row>
    <row r="1440" spans="5:17">
      <c r="E1440" s="1"/>
      <c r="F1440" s="1"/>
      <c r="G1440" s="3"/>
      <c r="H1440" s="1"/>
      <c r="I1440" s="1"/>
      <c r="J1440" s="1"/>
      <c r="K1440" s="1"/>
      <c r="L1440" s="1"/>
      <c r="Q1440" s="8"/>
    </row>
    <row r="1441" spans="5:17">
      <c r="E1441" s="1"/>
      <c r="F1441" s="1"/>
      <c r="G1441" s="3"/>
      <c r="H1441" s="1"/>
      <c r="I1441" s="1"/>
      <c r="J1441" s="1"/>
      <c r="K1441" s="1"/>
      <c r="L1441" s="1"/>
      <c r="Q1441" s="8"/>
    </row>
    <row r="1442" spans="5:17">
      <c r="E1442" s="1"/>
      <c r="F1442" s="1"/>
      <c r="G1442" s="3"/>
      <c r="H1442" s="1"/>
      <c r="I1442" s="1"/>
      <c r="J1442" s="1"/>
      <c r="K1442" s="1"/>
      <c r="L1442" s="1"/>
      <c r="Q1442" s="8"/>
    </row>
    <row r="1443" spans="5:17">
      <c r="E1443" s="1"/>
      <c r="F1443" s="1"/>
      <c r="G1443" s="3"/>
      <c r="H1443" s="1"/>
      <c r="I1443" s="1"/>
      <c r="J1443" s="1"/>
      <c r="K1443" s="1"/>
      <c r="L1443" s="1"/>
      <c r="Q1443" s="8"/>
    </row>
    <row r="1444" spans="5:17">
      <c r="E1444" s="1"/>
      <c r="F1444" s="1"/>
      <c r="G1444" s="3"/>
      <c r="H1444" s="1"/>
      <c r="I1444" s="1"/>
      <c r="J1444" s="1"/>
      <c r="K1444" s="1"/>
      <c r="L1444" s="1"/>
      <c r="Q1444" s="8"/>
    </row>
    <row r="1445" spans="5:17">
      <c r="E1445" s="1"/>
      <c r="F1445" s="1"/>
      <c r="G1445" s="3"/>
      <c r="H1445" s="1"/>
      <c r="I1445" s="1"/>
      <c r="J1445" s="1"/>
      <c r="K1445" s="1"/>
      <c r="L1445" s="1"/>
      <c r="Q1445" s="8"/>
    </row>
    <row r="1446" spans="5:17">
      <c r="E1446" s="1"/>
      <c r="F1446" s="1"/>
      <c r="G1446" s="3"/>
      <c r="H1446" s="1"/>
      <c r="I1446" s="1"/>
      <c r="J1446" s="1"/>
      <c r="K1446" s="1"/>
      <c r="L1446" s="1"/>
      <c r="Q1446" s="8"/>
    </row>
    <row r="1447" spans="5:17">
      <c r="E1447" s="1"/>
      <c r="F1447" s="1"/>
      <c r="G1447" s="3"/>
      <c r="H1447" s="1"/>
      <c r="I1447" s="1"/>
      <c r="J1447" s="1"/>
      <c r="K1447" s="1"/>
      <c r="L1447" s="1"/>
      <c r="Q1447" s="8"/>
    </row>
    <row r="1448" spans="5:17">
      <c r="E1448" s="1"/>
      <c r="F1448" s="1"/>
      <c r="G1448" s="3"/>
      <c r="H1448" s="1"/>
      <c r="I1448" s="1"/>
      <c r="J1448" s="1"/>
      <c r="K1448" s="1"/>
      <c r="L1448" s="1"/>
      <c r="Q1448" s="8"/>
    </row>
    <row r="1449" spans="5:17">
      <c r="E1449" s="1"/>
      <c r="F1449" s="1"/>
      <c r="G1449" s="3"/>
      <c r="H1449" s="1"/>
      <c r="I1449" s="1"/>
      <c r="J1449" s="1"/>
      <c r="K1449" s="1"/>
      <c r="L1449" s="1"/>
      <c r="Q1449" s="8"/>
    </row>
    <row r="1450" spans="5:17">
      <c r="E1450" s="1"/>
      <c r="F1450" s="1"/>
      <c r="G1450" s="3"/>
      <c r="H1450" s="1"/>
      <c r="I1450" s="1"/>
      <c r="J1450" s="1"/>
      <c r="K1450" s="1"/>
      <c r="L1450" s="1"/>
      <c r="Q1450" s="8"/>
    </row>
    <row r="1451" spans="5:17">
      <c r="E1451" s="1"/>
      <c r="F1451" s="1"/>
      <c r="G1451" s="3"/>
      <c r="H1451" s="1"/>
      <c r="I1451" s="1"/>
      <c r="J1451" s="1"/>
      <c r="K1451" s="1"/>
      <c r="L1451" s="1"/>
      <c r="Q1451" s="8"/>
    </row>
    <row r="1452" spans="5:17">
      <c r="E1452" s="1"/>
      <c r="F1452" s="1"/>
      <c r="G1452" s="3"/>
      <c r="H1452" s="1"/>
      <c r="I1452" s="1"/>
      <c r="J1452" s="1"/>
      <c r="K1452" s="1"/>
      <c r="L1452" s="1"/>
      <c r="Q1452" s="8"/>
    </row>
    <row r="1453" spans="5:17">
      <c r="E1453" s="1"/>
      <c r="F1453" s="1"/>
      <c r="G1453" s="3"/>
      <c r="H1453" s="1"/>
      <c r="I1453" s="1"/>
      <c r="J1453" s="1"/>
      <c r="K1453" s="1"/>
      <c r="L1453" s="1"/>
      <c r="Q1453" s="8"/>
    </row>
    <row r="1454" spans="5:17">
      <c r="E1454" s="1"/>
      <c r="F1454" s="1"/>
      <c r="G1454" s="3"/>
      <c r="H1454" s="1"/>
      <c r="I1454" s="1"/>
      <c r="J1454" s="1"/>
      <c r="K1454" s="1"/>
      <c r="L1454" s="1"/>
      <c r="Q1454" s="8"/>
    </row>
    <row r="1455" spans="5:17">
      <c r="E1455" s="1"/>
      <c r="F1455" s="1"/>
      <c r="G1455" s="3"/>
      <c r="H1455" s="1"/>
      <c r="I1455" s="1"/>
      <c r="J1455" s="1"/>
      <c r="K1455" s="1"/>
      <c r="L1455" s="1"/>
      <c r="Q1455" s="8"/>
    </row>
    <row r="1456" spans="5:17">
      <c r="E1456" s="1"/>
      <c r="F1456" s="1"/>
      <c r="G1456" s="3"/>
      <c r="H1456" s="1"/>
      <c r="I1456" s="1"/>
      <c r="J1456" s="1"/>
      <c r="K1456" s="1"/>
      <c r="L1456" s="1"/>
      <c r="Q1456" s="8"/>
    </row>
    <row r="1457" spans="5:17">
      <c r="E1457" s="1"/>
      <c r="F1457" s="1"/>
      <c r="G1457" s="3"/>
      <c r="H1457" s="1"/>
      <c r="I1457" s="1"/>
      <c r="J1457" s="1"/>
      <c r="K1457" s="1"/>
      <c r="L1457" s="1"/>
      <c r="Q1457" s="8"/>
    </row>
    <row r="1458" spans="5:17">
      <c r="E1458" s="1"/>
      <c r="F1458" s="1"/>
      <c r="G1458" s="3"/>
      <c r="H1458" s="1"/>
      <c r="I1458" s="1"/>
      <c r="J1458" s="1"/>
      <c r="K1458" s="1"/>
      <c r="L1458" s="1"/>
      <c r="Q1458" s="8"/>
    </row>
    <row r="1459" spans="5:17">
      <c r="E1459" s="1"/>
      <c r="F1459" s="1"/>
      <c r="G1459" s="3"/>
      <c r="H1459" s="1"/>
      <c r="I1459" s="1"/>
      <c r="J1459" s="1"/>
      <c r="K1459" s="1"/>
      <c r="L1459" s="1"/>
      <c r="Q1459" s="8"/>
    </row>
    <row r="1460" spans="5:17">
      <c r="E1460" s="1"/>
      <c r="F1460" s="1"/>
      <c r="G1460" s="3"/>
      <c r="H1460" s="1"/>
      <c r="I1460" s="1"/>
      <c r="J1460" s="1"/>
      <c r="K1460" s="1"/>
      <c r="L1460" s="1"/>
      <c r="Q1460" s="8"/>
    </row>
    <row r="1461" spans="5:17">
      <c r="E1461" s="1"/>
      <c r="F1461" s="1"/>
      <c r="G1461" s="3"/>
      <c r="H1461" s="1"/>
      <c r="I1461" s="1"/>
      <c r="J1461" s="1"/>
      <c r="K1461" s="1"/>
      <c r="L1461" s="1"/>
      <c r="Q1461" s="8"/>
    </row>
    <row r="1462" spans="5:17">
      <c r="E1462" s="1"/>
      <c r="F1462" s="1"/>
      <c r="G1462" s="3"/>
      <c r="H1462" s="1"/>
      <c r="I1462" s="1"/>
      <c r="J1462" s="1"/>
      <c r="K1462" s="1"/>
      <c r="L1462" s="1"/>
      <c r="Q1462" s="8"/>
    </row>
    <row r="1463" spans="5:17">
      <c r="E1463" s="1"/>
      <c r="F1463" s="1"/>
      <c r="G1463" s="3"/>
      <c r="H1463" s="1"/>
      <c r="I1463" s="1"/>
      <c r="J1463" s="1"/>
      <c r="K1463" s="1"/>
      <c r="L1463" s="1"/>
      <c r="Q1463" s="8"/>
    </row>
    <row r="1464" spans="5:17">
      <c r="E1464" s="1"/>
      <c r="F1464" s="1"/>
      <c r="G1464" s="3"/>
      <c r="H1464" s="1"/>
      <c r="I1464" s="1"/>
      <c r="J1464" s="1"/>
      <c r="K1464" s="1"/>
      <c r="L1464" s="1"/>
      <c r="Q1464" s="8"/>
    </row>
    <row r="1465" spans="5:17">
      <c r="E1465" s="1"/>
      <c r="F1465" s="1"/>
      <c r="G1465" s="3"/>
      <c r="H1465" s="1"/>
      <c r="I1465" s="1"/>
      <c r="J1465" s="1"/>
      <c r="K1465" s="1"/>
      <c r="L1465" s="1"/>
      <c r="Q1465" s="8"/>
    </row>
    <row r="1466" spans="5:17">
      <c r="E1466" s="1"/>
      <c r="F1466" s="1"/>
      <c r="G1466" s="3"/>
      <c r="H1466" s="1"/>
      <c r="I1466" s="1"/>
      <c r="J1466" s="1"/>
      <c r="K1466" s="1"/>
      <c r="L1466" s="1"/>
      <c r="Q1466" s="8"/>
    </row>
    <row r="1467" spans="5:17">
      <c r="E1467" s="1"/>
      <c r="F1467" s="1"/>
      <c r="G1467" s="3"/>
      <c r="H1467" s="1"/>
      <c r="I1467" s="1"/>
      <c r="J1467" s="1"/>
      <c r="K1467" s="1"/>
      <c r="L1467" s="1"/>
      <c r="Q1467" s="8"/>
    </row>
    <row r="1468" spans="5:17">
      <c r="E1468" s="1"/>
      <c r="F1468" s="1"/>
      <c r="G1468" s="3"/>
      <c r="H1468" s="1"/>
      <c r="I1468" s="1"/>
      <c r="J1468" s="1"/>
      <c r="K1468" s="1"/>
      <c r="L1468" s="1"/>
      <c r="Q1468" s="8"/>
    </row>
    <row r="1469" spans="5:17">
      <c r="E1469" s="1"/>
      <c r="F1469" s="1"/>
      <c r="G1469" s="3"/>
      <c r="H1469" s="1"/>
      <c r="I1469" s="1"/>
      <c r="J1469" s="1"/>
      <c r="K1469" s="1"/>
      <c r="L1469" s="1"/>
      <c r="Q1469" s="8"/>
    </row>
    <row r="1470" spans="5:17">
      <c r="E1470" s="1"/>
      <c r="F1470" s="1"/>
      <c r="G1470" s="3"/>
      <c r="H1470" s="1"/>
      <c r="I1470" s="1"/>
      <c r="J1470" s="1"/>
      <c r="K1470" s="1"/>
      <c r="L1470" s="1"/>
      <c r="Q1470" s="8"/>
    </row>
    <row r="1471" spans="5:17">
      <c r="E1471" s="1"/>
      <c r="F1471" s="1"/>
      <c r="G1471" s="3"/>
      <c r="H1471" s="1"/>
      <c r="I1471" s="1"/>
      <c r="J1471" s="1"/>
      <c r="K1471" s="1"/>
      <c r="L1471" s="1"/>
      <c r="Q1471" s="8"/>
    </row>
    <row r="1472" spans="5:17">
      <c r="E1472" s="1"/>
      <c r="F1472" s="1"/>
      <c r="G1472" s="3"/>
      <c r="H1472" s="1"/>
      <c r="I1472" s="1"/>
      <c r="J1472" s="1"/>
      <c r="K1472" s="1"/>
      <c r="L1472" s="1"/>
      <c r="Q1472" s="8"/>
    </row>
    <row r="1473" spans="5:17">
      <c r="E1473" s="1"/>
      <c r="F1473" s="1"/>
      <c r="G1473" s="3"/>
      <c r="H1473" s="1"/>
      <c r="I1473" s="1"/>
      <c r="J1473" s="1"/>
      <c r="K1473" s="1"/>
      <c r="L1473" s="1"/>
      <c r="Q1473" s="8"/>
    </row>
    <row r="1474" spans="5:17">
      <c r="E1474" s="1"/>
      <c r="F1474" s="1"/>
      <c r="G1474" s="3"/>
      <c r="H1474" s="1"/>
      <c r="I1474" s="1"/>
      <c r="J1474" s="1"/>
      <c r="K1474" s="1"/>
      <c r="L1474" s="1"/>
      <c r="Q1474" s="8"/>
    </row>
    <row r="1475" spans="5:17">
      <c r="E1475" s="1"/>
      <c r="F1475" s="1"/>
      <c r="G1475" s="3"/>
      <c r="H1475" s="1"/>
      <c r="I1475" s="1"/>
      <c r="J1475" s="1"/>
      <c r="K1475" s="1"/>
      <c r="L1475" s="1"/>
      <c r="Q1475" s="8"/>
    </row>
    <row r="1476" spans="5:17">
      <c r="E1476" s="1"/>
      <c r="F1476" s="1"/>
      <c r="G1476" s="3"/>
      <c r="H1476" s="1"/>
      <c r="I1476" s="1"/>
      <c r="J1476" s="1"/>
      <c r="K1476" s="1"/>
      <c r="L1476" s="1"/>
      <c r="Q1476" s="8"/>
    </row>
    <row r="1477" spans="5:17">
      <c r="E1477" s="1"/>
      <c r="F1477" s="1"/>
      <c r="G1477" s="3"/>
      <c r="H1477" s="1"/>
      <c r="I1477" s="1"/>
      <c r="J1477" s="1"/>
      <c r="K1477" s="1"/>
      <c r="L1477" s="1"/>
      <c r="Q1477" s="8"/>
    </row>
    <row r="1478" spans="5:17">
      <c r="E1478" s="1"/>
      <c r="F1478" s="1"/>
      <c r="G1478" s="3"/>
      <c r="H1478" s="1"/>
      <c r="I1478" s="1"/>
      <c r="J1478" s="1"/>
      <c r="K1478" s="1"/>
      <c r="L1478" s="1"/>
      <c r="Q1478" s="8"/>
    </row>
    <row r="1479" spans="5:17">
      <c r="E1479" s="1"/>
      <c r="F1479" s="1"/>
      <c r="G1479" s="3"/>
      <c r="H1479" s="1"/>
      <c r="I1479" s="1"/>
      <c r="J1479" s="1"/>
      <c r="K1479" s="1"/>
      <c r="L1479" s="1"/>
      <c r="Q1479" s="8"/>
    </row>
    <row r="1480" spans="5:17">
      <c r="E1480" s="1"/>
      <c r="F1480" s="1"/>
      <c r="G1480" s="3"/>
      <c r="H1480" s="1"/>
      <c r="I1480" s="1"/>
      <c r="J1480" s="1"/>
      <c r="K1480" s="1"/>
      <c r="L1480" s="1"/>
      <c r="Q1480" s="8"/>
    </row>
    <row r="1481" spans="5:17">
      <c r="E1481" s="1"/>
      <c r="F1481" s="1"/>
      <c r="G1481" s="3"/>
      <c r="H1481" s="1"/>
      <c r="I1481" s="1"/>
      <c r="J1481" s="1"/>
      <c r="K1481" s="1"/>
      <c r="L1481" s="1"/>
      <c r="Q1481" s="8"/>
    </row>
    <row r="1482" spans="5:17">
      <c r="E1482" s="1"/>
      <c r="F1482" s="1"/>
      <c r="G1482" s="3"/>
      <c r="H1482" s="1"/>
      <c r="I1482" s="1"/>
      <c r="J1482" s="1"/>
      <c r="K1482" s="1"/>
      <c r="L1482" s="1"/>
      <c r="Q1482" s="8"/>
    </row>
    <row r="1483" spans="5:17">
      <c r="E1483" s="1"/>
      <c r="F1483" s="1"/>
      <c r="G1483" s="3"/>
      <c r="H1483" s="1"/>
      <c r="I1483" s="1"/>
      <c r="J1483" s="1"/>
      <c r="K1483" s="1"/>
      <c r="L1483" s="1"/>
      <c r="Q1483" s="8"/>
    </row>
    <row r="1484" spans="5:17">
      <c r="E1484" s="1"/>
      <c r="F1484" s="1"/>
      <c r="G1484" s="3"/>
      <c r="H1484" s="1"/>
      <c r="I1484" s="1"/>
      <c r="J1484" s="1"/>
      <c r="K1484" s="1"/>
      <c r="L1484" s="1"/>
      <c r="Q1484" s="8"/>
    </row>
    <row r="1485" spans="5:17">
      <c r="E1485" s="1"/>
      <c r="F1485" s="1"/>
      <c r="G1485" s="3"/>
      <c r="H1485" s="1"/>
      <c r="I1485" s="1"/>
      <c r="J1485" s="1"/>
      <c r="K1485" s="1"/>
      <c r="L1485" s="1"/>
      <c r="Q1485" s="8"/>
    </row>
    <row r="1486" spans="5:17">
      <c r="E1486" s="1"/>
      <c r="F1486" s="1"/>
      <c r="G1486" s="3"/>
      <c r="H1486" s="1"/>
      <c r="I1486" s="1"/>
      <c r="J1486" s="1"/>
      <c r="K1486" s="1"/>
      <c r="L1486" s="1"/>
      <c r="Q1486" s="8"/>
    </row>
    <row r="1487" spans="5:17">
      <c r="E1487" s="1"/>
      <c r="F1487" s="1"/>
      <c r="G1487" s="3"/>
      <c r="H1487" s="1"/>
      <c r="I1487" s="1"/>
      <c r="J1487" s="1"/>
      <c r="K1487" s="1"/>
      <c r="L1487" s="1"/>
      <c r="Q1487" s="8"/>
    </row>
    <row r="1488" spans="5:17">
      <c r="E1488" s="1"/>
      <c r="F1488" s="1"/>
      <c r="G1488" s="3"/>
      <c r="H1488" s="1"/>
      <c r="I1488" s="1"/>
      <c r="J1488" s="1"/>
      <c r="K1488" s="1"/>
      <c r="L1488" s="1"/>
      <c r="Q1488" s="8"/>
    </row>
    <row r="1489" spans="5:17">
      <c r="E1489" s="1"/>
      <c r="F1489" s="1"/>
      <c r="G1489" s="3"/>
      <c r="H1489" s="1"/>
      <c r="I1489" s="1"/>
      <c r="J1489" s="1"/>
      <c r="K1489" s="1"/>
      <c r="L1489" s="1"/>
      <c r="Q1489" s="8"/>
    </row>
    <row r="1490" spans="5:17">
      <c r="E1490" s="1"/>
      <c r="F1490" s="1"/>
      <c r="G1490" s="3"/>
      <c r="H1490" s="1"/>
      <c r="I1490" s="1"/>
      <c r="J1490" s="1"/>
      <c r="K1490" s="1"/>
      <c r="L1490" s="1"/>
      <c r="Q1490" s="8"/>
    </row>
    <row r="1491" spans="5:17">
      <c r="E1491" s="1"/>
      <c r="F1491" s="1"/>
      <c r="G1491" s="3"/>
      <c r="H1491" s="1"/>
      <c r="I1491" s="1"/>
      <c r="J1491" s="1"/>
      <c r="K1491" s="1"/>
      <c r="L1491" s="1"/>
      <c r="Q1491" s="8"/>
    </row>
    <row r="1492" spans="5:17">
      <c r="E1492" s="1"/>
      <c r="F1492" s="1"/>
      <c r="G1492" s="3"/>
      <c r="H1492" s="1"/>
      <c r="I1492" s="1"/>
      <c r="J1492" s="1"/>
      <c r="K1492" s="1"/>
      <c r="L1492" s="1"/>
      <c r="Q1492" s="8"/>
    </row>
    <row r="1493" spans="5:17">
      <c r="E1493" s="1"/>
      <c r="F1493" s="1"/>
      <c r="G1493" s="3"/>
      <c r="H1493" s="1"/>
      <c r="I1493" s="1"/>
      <c r="J1493" s="1"/>
      <c r="K1493" s="1"/>
      <c r="L1493" s="1"/>
      <c r="Q1493" s="8"/>
    </row>
    <row r="1494" spans="5:17">
      <c r="E1494" s="1"/>
      <c r="F1494" s="1"/>
      <c r="G1494" s="3"/>
      <c r="H1494" s="1"/>
      <c r="I1494" s="1"/>
      <c r="J1494" s="1"/>
      <c r="K1494" s="1"/>
      <c r="L1494" s="1"/>
      <c r="Q1494" s="8"/>
    </row>
    <row r="1495" spans="5:17">
      <c r="E1495" s="1"/>
      <c r="F1495" s="1"/>
      <c r="G1495" s="3"/>
      <c r="H1495" s="1"/>
      <c r="I1495" s="1"/>
      <c r="J1495" s="1"/>
      <c r="K1495" s="1"/>
      <c r="L1495" s="1"/>
      <c r="Q1495" s="8"/>
    </row>
    <row r="1496" spans="5:17">
      <c r="E1496" s="1"/>
      <c r="F1496" s="1"/>
      <c r="G1496" s="3"/>
      <c r="H1496" s="1"/>
      <c r="I1496" s="1"/>
      <c r="J1496" s="1"/>
      <c r="K1496" s="1"/>
      <c r="L1496" s="1"/>
      <c r="Q1496" s="8"/>
    </row>
    <row r="1497" spans="5:17">
      <c r="E1497" s="1"/>
      <c r="F1497" s="1"/>
      <c r="G1497" s="3"/>
      <c r="H1497" s="1"/>
      <c r="I1497" s="1"/>
      <c r="J1497" s="1"/>
      <c r="K1497" s="1"/>
      <c r="L1497" s="1"/>
      <c r="Q1497" s="8"/>
    </row>
    <row r="1498" spans="5:17">
      <c r="E1498" s="1"/>
      <c r="F1498" s="1"/>
      <c r="G1498" s="3"/>
      <c r="H1498" s="1"/>
      <c r="I1498" s="1"/>
      <c r="J1498" s="1"/>
      <c r="K1498" s="1"/>
      <c r="L1498" s="1"/>
      <c r="Q1498" s="8"/>
    </row>
    <row r="1499" spans="5:17">
      <c r="E1499" s="1"/>
      <c r="F1499" s="1"/>
      <c r="G1499" s="3"/>
      <c r="H1499" s="1"/>
      <c r="I1499" s="1"/>
      <c r="J1499" s="1"/>
      <c r="K1499" s="1"/>
      <c r="L1499" s="1"/>
      <c r="Q1499" s="8"/>
    </row>
    <row r="1500" spans="5:17">
      <c r="E1500" s="1"/>
      <c r="F1500" s="1"/>
      <c r="G1500" s="3"/>
      <c r="H1500" s="1"/>
      <c r="I1500" s="1"/>
      <c r="J1500" s="1"/>
      <c r="K1500" s="1"/>
      <c r="L1500" s="1"/>
      <c r="Q1500" s="8"/>
    </row>
    <row r="1501" spans="5:17">
      <c r="E1501" s="1"/>
      <c r="F1501" s="1"/>
      <c r="G1501" s="3"/>
      <c r="H1501" s="1"/>
      <c r="I1501" s="1"/>
      <c r="J1501" s="1"/>
      <c r="K1501" s="1"/>
      <c r="L1501" s="1"/>
      <c r="Q1501" s="8"/>
    </row>
    <row r="1502" spans="5:17">
      <c r="E1502" s="1"/>
      <c r="F1502" s="1"/>
      <c r="G1502" s="3"/>
      <c r="H1502" s="1"/>
      <c r="I1502" s="1"/>
      <c r="J1502" s="1"/>
      <c r="K1502" s="1"/>
      <c r="L1502" s="1"/>
      <c r="Q1502" s="8"/>
    </row>
    <row r="1503" spans="5:17">
      <c r="E1503" s="1"/>
      <c r="F1503" s="1"/>
      <c r="G1503" s="3"/>
      <c r="H1503" s="1"/>
      <c r="I1503" s="1"/>
      <c r="J1503" s="1"/>
      <c r="K1503" s="1"/>
      <c r="L1503" s="1"/>
      <c r="Q1503" s="8"/>
    </row>
    <row r="1504" spans="5:17">
      <c r="E1504" s="1"/>
      <c r="F1504" s="1"/>
      <c r="G1504" s="3"/>
      <c r="H1504" s="1"/>
      <c r="I1504" s="1"/>
      <c r="J1504" s="1"/>
      <c r="K1504" s="1"/>
      <c r="L1504" s="1"/>
      <c r="Q1504" s="8"/>
    </row>
    <row r="1505" spans="5:17">
      <c r="E1505" s="1"/>
      <c r="F1505" s="1"/>
      <c r="G1505" s="3"/>
      <c r="H1505" s="1"/>
      <c r="I1505" s="1"/>
      <c r="J1505" s="1"/>
      <c r="K1505" s="1"/>
      <c r="L1505" s="1"/>
      <c r="Q1505" s="8"/>
    </row>
    <row r="1506" spans="5:17">
      <c r="E1506" s="1"/>
      <c r="F1506" s="1"/>
      <c r="G1506" s="3"/>
      <c r="H1506" s="1"/>
      <c r="I1506" s="1"/>
      <c r="J1506" s="1"/>
      <c r="K1506" s="1"/>
      <c r="L1506" s="1"/>
      <c r="Q1506" s="8"/>
    </row>
    <row r="1507" spans="5:17">
      <c r="E1507" s="1"/>
      <c r="F1507" s="1"/>
      <c r="G1507" s="3"/>
      <c r="H1507" s="1"/>
      <c r="I1507" s="1"/>
      <c r="J1507" s="1"/>
      <c r="K1507" s="1"/>
      <c r="L1507" s="1"/>
      <c r="Q1507" s="8"/>
    </row>
    <row r="1508" spans="5:17">
      <c r="E1508" s="1"/>
      <c r="F1508" s="1"/>
      <c r="G1508" s="3"/>
      <c r="H1508" s="1"/>
      <c r="I1508" s="1"/>
      <c r="J1508" s="1"/>
      <c r="K1508" s="1"/>
      <c r="L1508" s="1"/>
      <c r="Q1508" s="8"/>
    </row>
    <row r="1509" spans="5:17">
      <c r="E1509" s="1"/>
      <c r="F1509" s="1"/>
      <c r="G1509" s="3"/>
      <c r="H1509" s="1"/>
      <c r="I1509" s="1"/>
      <c r="J1509" s="1"/>
      <c r="K1509" s="1"/>
      <c r="L1509" s="1"/>
      <c r="Q1509" s="8"/>
    </row>
    <row r="1510" spans="5:17">
      <c r="E1510" s="1"/>
      <c r="F1510" s="1"/>
      <c r="G1510" s="3"/>
      <c r="H1510" s="1"/>
      <c r="I1510" s="1"/>
      <c r="J1510" s="1"/>
      <c r="K1510" s="1"/>
      <c r="L1510" s="1"/>
      <c r="Q1510" s="8"/>
    </row>
    <row r="1511" spans="5:17">
      <c r="E1511" s="1"/>
      <c r="F1511" s="1"/>
      <c r="G1511" s="3"/>
      <c r="H1511" s="1"/>
      <c r="I1511" s="1"/>
      <c r="J1511" s="1"/>
      <c r="K1511" s="1"/>
      <c r="L1511" s="1"/>
      <c r="Q1511" s="8"/>
    </row>
    <row r="1512" spans="5:17">
      <c r="E1512" s="1"/>
      <c r="F1512" s="1"/>
      <c r="G1512" s="3"/>
      <c r="H1512" s="1"/>
      <c r="I1512" s="1"/>
      <c r="J1512" s="1"/>
      <c r="K1512" s="1"/>
      <c r="L1512" s="1"/>
      <c r="Q1512" s="8"/>
    </row>
    <row r="1513" spans="5:17">
      <c r="E1513" s="1"/>
      <c r="F1513" s="1"/>
      <c r="G1513" s="3"/>
      <c r="H1513" s="1"/>
      <c r="I1513" s="1"/>
      <c r="J1513" s="1"/>
      <c r="K1513" s="1"/>
      <c r="L1513" s="1"/>
      <c r="Q1513" s="8"/>
    </row>
    <row r="1514" spans="5:17">
      <c r="E1514" s="1"/>
      <c r="F1514" s="1"/>
      <c r="G1514" s="3"/>
      <c r="H1514" s="1"/>
      <c r="I1514" s="1"/>
      <c r="J1514" s="1"/>
      <c r="K1514" s="1"/>
      <c r="L1514" s="1"/>
      <c r="Q1514" s="8"/>
    </row>
    <row r="1515" spans="5:17">
      <c r="E1515" s="1"/>
      <c r="F1515" s="1"/>
      <c r="G1515" s="3"/>
      <c r="H1515" s="1"/>
      <c r="I1515" s="1"/>
      <c r="J1515" s="1"/>
      <c r="K1515" s="1"/>
      <c r="L1515" s="1"/>
      <c r="Q1515" s="8"/>
    </row>
    <row r="1516" spans="5:17">
      <c r="E1516" s="1"/>
      <c r="F1516" s="1"/>
      <c r="G1516" s="3"/>
      <c r="H1516" s="1"/>
      <c r="I1516" s="1"/>
      <c r="J1516" s="1"/>
      <c r="K1516" s="1"/>
      <c r="L1516" s="1"/>
      <c r="Q1516" s="8"/>
    </row>
    <row r="1517" spans="5:17">
      <c r="E1517" s="1"/>
      <c r="F1517" s="1"/>
      <c r="G1517" s="3"/>
      <c r="H1517" s="1"/>
      <c r="I1517" s="1"/>
      <c r="J1517" s="1"/>
      <c r="K1517" s="1"/>
      <c r="L1517" s="1"/>
      <c r="Q1517" s="8"/>
    </row>
    <row r="1518" spans="5:17">
      <c r="E1518" s="1"/>
      <c r="F1518" s="1"/>
      <c r="G1518" s="3"/>
      <c r="H1518" s="1"/>
      <c r="I1518" s="1"/>
      <c r="J1518" s="1"/>
      <c r="K1518" s="1"/>
      <c r="L1518" s="1"/>
      <c r="Q1518" s="8"/>
    </row>
    <row r="1519" spans="5:17">
      <c r="E1519" s="1"/>
      <c r="F1519" s="1"/>
      <c r="G1519" s="3"/>
      <c r="H1519" s="1"/>
      <c r="I1519" s="1"/>
      <c r="J1519" s="1"/>
      <c r="K1519" s="1"/>
      <c r="L1519" s="1"/>
      <c r="Q1519" s="8"/>
    </row>
    <row r="1520" spans="5:17">
      <c r="E1520" s="1"/>
      <c r="F1520" s="1"/>
      <c r="G1520" s="3"/>
      <c r="H1520" s="1"/>
      <c r="I1520" s="1"/>
      <c r="J1520" s="1"/>
      <c r="K1520" s="1"/>
      <c r="L1520" s="1"/>
      <c r="Q1520" s="8"/>
    </row>
    <row r="1521" spans="5:17">
      <c r="E1521" s="1"/>
      <c r="F1521" s="1"/>
      <c r="G1521" s="3"/>
      <c r="H1521" s="1"/>
      <c r="I1521" s="1"/>
      <c r="J1521" s="1"/>
      <c r="K1521" s="1"/>
      <c r="L1521" s="1"/>
      <c r="Q1521" s="8"/>
    </row>
    <row r="1522" spans="5:17">
      <c r="E1522" s="1"/>
      <c r="F1522" s="1"/>
      <c r="G1522" s="3"/>
      <c r="H1522" s="1"/>
      <c r="I1522" s="1"/>
      <c r="J1522" s="1"/>
      <c r="K1522" s="1"/>
      <c r="L1522" s="1"/>
      <c r="Q1522" s="8"/>
    </row>
    <row r="1523" spans="5:17">
      <c r="E1523" s="1"/>
      <c r="F1523" s="1"/>
      <c r="G1523" s="3"/>
      <c r="H1523" s="1"/>
      <c r="I1523" s="1"/>
      <c r="J1523" s="1"/>
      <c r="K1523" s="1"/>
      <c r="L1523" s="1"/>
      <c r="Q1523" s="8"/>
    </row>
    <row r="1524" spans="5:17">
      <c r="E1524" s="1"/>
      <c r="F1524" s="1"/>
      <c r="G1524" s="3"/>
      <c r="H1524" s="1"/>
      <c r="I1524" s="1"/>
      <c r="J1524" s="1"/>
      <c r="K1524" s="1"/>
      <c r="L1524" s="1"/>
      <c r="Q1524" s="8"/>
    </row>
    <row r="1525" spans="5:17">
      <c r="E1525" s="1"/>
      <c r="F1525" s="1"/>
      <c r="G1525" s="3"/>
      <c r="H1525" s="1"/>
      <c r="I1525" s="1"/>
      <c r="J1525" s="1"/>
      <c r="K1525" s="1"/>
      <c r="L1525" s="1"/>
      <c r="Q1525" s="8"/>
    </row>
    <row r="1526" spans="5:17">
      <c r="E1526" s="1"/>
      <c r="F1526" s="1"/>
      <c r="G1526" s="3"/>
      <c r="H1526" s="1"/>
      <c r="I1526" s="1"/>
      <c r="J1526" s="1"/>
      <c r="K1526" s="1"/>
      <c r="L1526" s="1"/>
      <c r="Q1526" s="8"/>
    </row>
    <row r="1527" spans="5:17">
      <c r="E1527" s="1"/>
      <c r="F1527" s="1"/>
      <c r="G1527" s="3"/>
      <c r="H1527" s="1"/>
      <c r="I1527" s="1"/>
      <c r="J1527" s="1"/>
      <c r="K1527" s="1"/>
      <c r="L1527" s="1"/>
      <c r="Q1527" s="8"/>
    </row>
    <row r="1528" spans="5:17">
      <c r="E1528" s="1"/>
      <c r="F1528" s="1"/>
      <c r="G1528" s="3"/>
      <c r="H1528" s="1"/>
      <c r="I1528" s="1"/>
      <c r="J1528" s="1"/>
      <c r="K1528" s="1"/>
      <c r="L1528" s="1"/>
      <c r="Q1528" s="8"/>
    </row>
    <row r="1529" spans="5:17">
      <c r="E1529" s="1"/>
      <c r="F1529" s="1"/>
      <c r="G1529" s="3"/>
      <c r="H1529" s="1"/>
      <c r="I1529" s="1"/>
      <c r="J1529" s="1"/>
      <c r="K1529" s="1"/>
      <c r="L1529" s="1"/>
      <c r="Q1529" s="8"/>
    </row>
    <row r="1530" spans="5:17">
      <c r="E1530" s="1"/>
      <c r="F1530" s="1"/>
      <c r="G1530" s="3"/>
      <c r="H1530" s="1"/>
      <c r="I1530" s="1"/>
      <c r="J1530" s="1"/>
      <c r="K1530" s="1"/>
      <c r="L1530" s="1"/>
      <c r="Q1530" s="8"/>
    </row>
    <row r="1531" spans="5:17">
      <c r="E1531" s="1"/>
      <c r="F1531" s="1"/>
      <c r="G1531" s="3"/>
      <c r="H1531" s="1"/>
      <c r="I1531" s="1"/>
      <c r="J1531" s="1"/>
      <c r="K1531" s="1"/>
      <c r="L1531" s="1"/>
      <c r="Q1531" s="8"/>
    </row>
    <row r="1532" spans="5:17">
      <c r="E1532" s="1"/>
      <c r="F1532" s="1"/>
      <c r="G1532" s="3"/>
      <c r="H1532" s="1"/>
      <c r="I1532" s="1"/>
      <c r="J1532" s="1"/>
      <c r="K1532" s="1"/>
      <c r="L1532" s="1"/>
      <c r="Q1532" s="8"/>
    </row>
    <row r="1533" spans="5:17">
      <c r="E1533" s="1"/>
      <c r="F1533" s="1"/>
      <c r="G1533" s="3"/>
      <c r="H1533" s="1"/>
      <c r="I1533" s="1"/>
      <c r="J1533" s="1"/>
      <c r="K1533" s="1"/>
      <c r="L1533" s="1"/>
      <c r="Q1533" s="8"/>
    </row>
    <row r="1534" spans="5:17">
      <c r="E1534" s="1"/>
      <c r="F1534" s="1"/>
      <c r="G1534" s="3"/>
      <c r="H1534" s="1"/>
      <c r="I1534" s="1"/>
      <c r="J1534" s="1"/>
      <c r="K1534" s="1"/>
      <c r="L1534" s="1"/>
      <c r="Q1534" s="8"/>
    </row>
    <row r="1535" spans="5:17">
      <c r="E1535" s="1"/>
      <c r="F1535" s="1"/>
      <c r="G1535" s="3"/>
      <c r="H1535" s="1"/>
      <c r="I1535" s="1"/>
      <c r="J1535" s="1"/>
      <c r="K1535" s="1"/>
      <c r="L1535" s="1"/>
      <c r="Q1535" s="8"/>
    </row>
    <row r="1536" spans="5:17">
      <c r="E1536" s="1"/>
      <c r="F1536" s="1"/>
      <c r="G1536" s="3"/>
      <c r="H1536" s="1"/>
      <c r="I1536" s="1"/>
      <c r="J1536" s="1"/>
      <c r="K1536" s="1"/>
      <c r="L1536" s="1"/>
      <c r="Q1536" s="8"/>
    </row>
    <row r="1537" spans="5:17">
      <c r="E1537" s="1"/>
      <c r="F1537" s="1"/>
      <c r="G1537" s="3"/>
      <c r="H1537" s="1"/>
      <c r="I1537" s="1"/>
      <c r="J1537" s="1"/>
      <c r="K1537" s="1"/>
      <c r="L1537" s="1"/>
      <c r="Q1537" s="8"/>
    </row>
    <row r="1538" spans="5:17">
      <c r="E1538" s="1"/>
      <c r="F1538" s="1"/>
      <c r="G1538" s="3"/>
      <c r="H1538" s="1"/>
      <c r="I1538" s="1"/>
      <c r="J1538" s="1"/>
      <c r="K1538" s="1"/>
      <c r="L1538" s="1"/>
      <c r="Q1538" s="8"/>
    </row>
    <row r="1539" spans="5:17">
      <c r="E1539" s="1"/>
      <c r="F1539" s="1"/>
      <c r="G1539" s="3"/>
      <c r="H1539" s="1"/>
      <c r="I1539" s="1"/>
      <c r="J1539" s="1"/>
      <c r="K1539" s="1"/>
      <c r="L1539" s="1"/>
      <c r="Q1539" s="8"/>
    </row>
    <row r="1540" spans="5:17">
      <c r="E1540" s="1"/>
      <c r="F1540" s="1"/>
      <c r="G1540" s="3"/>
      <c r="H1540" s="1"/>
      <c r="I1540" s="1"/>
      <c r="J1540" s="1"/>
      <c r="K1540" s="1"/>
      <c r="L1540" s="1"/>
      <c r="Q1540" s="8"/>
    </row>
    <row r="1541" spans="5:17">
      <c r="E1541" s="1"/>
      <c r="F1541" s="1"/>
      <c r="G1541" s="3"/>
      <c r="H1541" s="1"/>
      <c r="I1541" s="1"/>
      <c r="J1541" s="1"/>
      <c r="K1541" s="1"/>
      <c r="L1541" s="1"/>
      <c r="Q1541" s="8"/>
    </row>
    <row r="1542" spans="5:17">
      <c r="E1542" s="1"/>
      <c r="F1542" s="1"/>
      <c r="G1542" s="3"/>
      <c r="H1542" s="1"/>
      <c r="I1542" s="1"/>
      <c r="J1542" s="1"/>
      <c r="K1542" s="1"/>
      <c r="L1542" s="1"/>
      <c r="Q1542" s="8"/>
    </row>
    <row r="1543" spans="5:17">
      <c r="E1543" s="1"/>
      <c r="F1543" s="1"/>
      <c r="G1543" s="3"/>
      <c r="H1543" s="1"/>
      <c r="I1543" s="1"/>
      <c r="J1543" s="1"/>
      <c r="K1543" s="1"/>
      <c r="L1543" s="1"/>
      <c r="Q1543" s="8"/>
    </row>
    <row r="1544" spans="5:17">
      <c r="E1544" s="1"/>
      <c r="F1544" s="1"/>
      <c r="G1544" s="3"/>
      <c r="H1544" s="1"/>
      <c r="I1544" s="1"/>
      <c r="J1544" s="1"/>
      <c r="K1544" s="1"/>
      <c r="L1544" s="1"/>
      <c r="Q1544" s="8"/>
    </row>
    <row r="1545" spans="5:17">
      <c r="E1545" s="1"/>
      <c r="F1545" s="1"/>
      <c r="G1545" s="3"/>
      <c r="H1545" s="1"/>
      <c r="I1545" s="1"/>
      <c r="J1545" s="1"/>
      <c r="K1545" s="1"/>
      <c r="L1545" s="1"/>
      <c r="Q1545" s="8"/>
    </row>
    <row r="1546" spans="5:17">
      <c r="E1546" s="1"/>
      <c r="F1546" s="1"/>
      <c r="G1546" s="3"/>
      <c r="H1546" s="1"/>
      <c r="I1546" s="1"/>
      <c r="J1546" s="1"/>
      <c r="K1546" s="1"/>
      <c r="L1546" s="1"/>
      <c r="Q1546" s="8"/>
    </row>
    <row r="1547" spans="5:17">
      <c r="E1547" s="1"/>
      <c r="F1547" s="1"/>
      <c r="G1547" s="3"/>
      <c r="H1547" s="1"/>
      <c r="I1547" s="1"/>
      <c r="J1547" s="1"/>
      <c r="K1547" s="1"/>
      <c r="L1547" s="1"/>
      <c r="Q1547" s="8"/>
    </row>
    <row r="1548" spans="5:17">
      <c r="E1548" s="1"/>
      <c r="F1548" s="1"/>
      <c r="G1548" s="3"/>
      <c r="H1548" s="1"/>
      <c r="I1548" s="1"/>
      <c r="J1548" s="1"/>
      <c r="K1548" s="1"/>
      <c r="L1548" s="1"/>
      <c r="Q1548" s="8"/>
    </row>
    <row r="1549" spans="5:17">
      <c r="E1549" s="1"/>
      <c r="F1549" s="1"/>
      <c r="G1549" s="3"/>
      <c r="H1549" s="1"/>
      <c r="I1549" s="1"/>
      <c r="J1549" s="1"/>
      <c r="K1549" s="1"/>
      <c r="L1549" s="1"/>
      <c r="Q1549" s="8"/>
    </row>
    <row r="1550" spans="5:17">
      <c r="E1550" s="1"/>
      <c r="F1550" s="1"/>
      <c r="G1550" s="3"/>
      <c r="H1550" s="1"/>
      <c r="I1550" s="1"/>
      <c r="J1550" s="1"/>
      <c r="K1550" s="1"/>
      <c r="L1550" s="1"/>
      <c r="Q1550" s="8"/>
    </row>
    <row r="1551" spans="5:17">
      <c r="E1551" s="1"/>
      <c r="F1551" s="1"/>
      <c r="G1551" s="3"/>
      <c r="H1551" s="1"/>
      <c r="I1551" s="1"/>
      <c r="J1551" s="1"/>
      <c r="K1551" s="1"/>
      <c r="L1551" s="1"/>
      <c r="Q1551" s="8"/>
    </row>
    <row r="1552" spans="5:17">
      <c r="E1552" s="1"/>
      <c r="F1552" s="1"/>
      <c r="G1552" s="3"/>
      <c r="H1552" s="1"/>
      <c r="I1552" s="1"/>
      <c r="J1552" s="1"/>
      <c r="K1552" s="1"/>
      <c r="L1552" s="1"/>
      <c r="Q1552" s="8"/>
    </row>
    <row r="1553" spans="5:17">
      <c r="E1553" s="1"/>
      <c r="F1553" s="1"/>
      <c r="G1553" s="3"/>
      <c r="H1553" s="1"/>
      <c r="I1553" s="1"/>
      <c r="J1553" s="1"/>
      <c r="K1553" s="1"/>
      <c r="L1553" s="1"/>
      <c r="Q1553" s="8"/>
    </row>
    <row r="1554" spans="5:17">
      <c r="E1554" s="1"/>
      <c r="F1554" s="1"/>
      <c r="G1554" s="3"/>
      <c r="H1554" s="1"/>
      <c r="I1554" s="1"/>
      <c r="J1554" s="1"/>
      <c r="K1554" s="1"/>
      <c r="L1554" s="1"/>
      <c r="Q1554" s="8"/>
    </row>
    <row r="1555" spans="5:17">
      <c r="E1555" s="1"/>
      <c r="F1555" s="1"/>
      <c r="G1555" s="3"/>
      <c r="H1555" s="1"/>
      <c r="I1555" s="1"/>
      <c r="J1555" s="1"/>
      <c r="K1555" s="1"/>
      <c r="L1555" s="1"/>
      <c r="Q1555" s="8"/>
    </row>
    <row r="1556" spans="5:17">
      <c r="E1556" s="1"/>
      <c r="F1556" s="1"/>
      <c r="G1556" s="3"/>
      <c r="H1556" s="1"/>
      <c r="I1556" s="1"/>
      <c r="J1556" s="1"/>
      <c r="K1556" s="1"/>
      <c r="L1556" s="1"/>
      <c r="Q1556" s="8"/>
    </row>
    <row r="1557" spans="5:17">
      <c r="E1557" s="1"/>
      <c r="F1557" s="1"/>
      <c r="G1557" s="3"/>
      <c r="H1557" s="1"/>
      <c r="I1557" s="1"/>
      <c r="J1557" s="1"/>
      <c r="K1557" s="1"/>
      <c r="L1557" s="1"/>
      <c r="Q1557" s="8"/>
    </row>
    <row r="1558" spans="5:17">
      <c r="E1558" s="1"/>
      <c r="F1558" s="1"/>
      <c r="G1558" s="3"/>
      <c r="H1558" s="1"/>
      <c r="I1558" s="1"/>
      <c r="J1558" s="1"/>
      <c r="K1558" s="1"/>
      <c r="L1558" s="1"/>
      <c r="Q1558" s="8"/>
    </row>
    <row r="1559" spans="5:17">
      <c r="E1559" s="1"/>
      <c r="F1559" s="1"/>
      <c r="G1559" s="3"/>
      <c r="H1559" s="1"/>
      <c r="I1559" s="1"/>
      <c r="J1559" s="1"/>
      <c r="K1559" s="1"/>
      <c r="L1559" s="1"/>
      <c r="Q1559" s="8"/>
    </row>
    <row r="1560" spans="5:17">
      <c r="E1560" s="1"/>
      <c r="F1560" s="1"/>
      <c r="G1560" s="3"/>
      <c r="H1560" s="1"/>
      <c r="I1560" s="1"/>
      <c r="J1560" s="1"/>
      <c r="K1560" s="1"/>
      <c r="L1560" s="1"/>
      <c r="Q1560" s="8"/>
    </row>
    <row r="1561" spans="5:17">
      <c r="E1561" s="1"/>
      <c r="F1561" s="1"/>
      <c r="G1561" s="3"/>
      <c r="H1561" s="1"/>
      <c r="I1561" s="1"/>
      <c r="J1561" s="1"/>
      <c r="K1561" s="1"/>
      <c r="L1561" s="1"/>
      <c r="Q1561" s="8"/>
    </row>
    <row r="1562" spans="5:17">
      <c r="E1562" s="1"/>
      <c r="F1562" s="1"/>
      <c r="G1562" s="3"/>
      <c r="H1562" s="1"/>
      <c r="I1562" s="1"/>
      <c r="J1562" s="1"/>
      <c r="K1562" s="1"/>
      <c r="L1562" s="1"/>
      <c r="Q1562" s="8"/>
    </row>
    <row r="1563" spans="5:17">
      <c r="E1563" s="1"/>
      <c r="F1563" s="1"/>
      <c r="G1563" s="3"/>
      <c r="H1563" s="1"/>
      <c r="I1563" s="1"/>
      <c r="J1563" s="1"/>
      <c r="K1563" s="1"/>
      <c r="L1563" s="1"/>
      <c r="Q1563" s="8"/>
    </row>
    <row r="1564" spans="5:17">
      <c r="E1564" s="1"/>
      <c r="F1564" s="1"/>
      <c r="G1564" s="3"/>
      <c r="H1564" s="1"/>
      <c r="I1564" s="1"/>
      <c r="J1564" s="1"/>
      <c r="K1564" s="1"/>
      <c r="L1564" s="1"/>
      <c r="Q1564" s="8"/>
    </row>
    <row r="1565" spans="5:17">
      <c r="E1565" s="1"/>
      <c r="F1565" s="1"/>
      <c r="G1565" s="3"/>
      <c r="H1565" s="1"/>
      <c r="I1565" s="1"/>
      <c r="J1565" s="1"/>
      <c r="K1565" s="1"/>
      <c r="L1565" s="1"/>
      <c r="Q1565" s="8"/>
    </row>
    <row r="1566" spans="5:17">
      <c r="E1566" s="1"/>
      <c r="F1566" s="1"/>
      <c r="G1566" s="3"/>
      <c r="H1566" s="1"/>
      <c r="I1566" s="1"/>
      <c r="J1566" s="1"/>
      <c r="K1566" s="1"/>
      <c r="L1566" s="1"/>
      <c r="Q1566" s="8"/>
    </row>
    <row r="1567" spans="5:17">
      <c r="E1567" s="1"/>
      <c r="F1567" s="1"/>
      <c r="G1567" s="3"/>
      <c r="H1567" s="1"/>
      <c r="I1567" s="1"/>
      <c r="J1567" s="1"/>
      <c r="K1567" s="1"/>
      <c r="L1567" s="1"/>
      <c r="Q1567" s="8"/>
    </row>
    <row r="1568" spans="5:17">
      <c r="E1568" s="1"/>
      <c r="F1568" s="1"/>
      <c r="G1568" s="3"/>
      <c r="H1568" s="1"/>
      <c r="I1568" s="1"/>
      <c r="J1568" s="1"/>
      <c r="K1568" s="1"/>
      <c r="L1568" s="1"/>
      <c r="Q1568" s="8"/>
    </row>
    <row r="1569" spans="5:17">
      <c r="E1569" s="1"/>
      <c r="F1569" s="1"/>
      <c r="G1569" s="3"/>
      <c r="H1569" s="1"/>
      <c r="I1569" s="1"/>
      <c r="J1569" s="1"/>
      <c r="K1569" s="1"/>
      <c r="L1569" s="1"/>
      <c r="Q1569" s="8"/>
    </row>
    <row r="1570" spans="5:17">
      <c r="E1570" s="1"/>
      <c r="F1570" s="1"/>
      <c r="G1570" s="3"/>
      <c r="H1570" s="1"/>
      <c r="I1570" s="1"/>
      <c r="J1570" s="1"/>
      <c r="K1570" s="1"/>
      <c r="L1570" s="1"/>
      <c r="Q1570" s="8"/>
    </row>
    <row r="1571" spans="5:17">
      <c r="E1571" s="1"/>
      <c r="F1571" s="1"/>
      <c r="G1571" s="3"/>
      <c r="H1571" s="1"/>
      <c r="I1571" s="1"/>
      <c r="J1571" s="1"/>
      <c r="K1571" s="1"/>
      <c r="L1571" s="1"/>
      <c r="Q1571" s="8"/>
    </row>
    <row r="1572" spans="5:17">
      <c r="E1572" s="1"/>
      <c r="F1572" s="1"/>
      <c r="G1572" s="3"/>
      <c r="H1572" s="1"/>
      <c r="I1572" s="1"/>
      <c r="J1572" s="1"/>
      <c r="K1572" s="1"/>
      <c r="L1572" s="1"/>
      <c r="Q1572" s="8"/>
    </row>
    <row r="1573" spans="5:17">
      <c r="E1573" s="1"/>
      <c r="F1573" s="1"/>
      <c r="G1573" s="3"/>
      <c r="H1573" s="1"/>
      <c r="I1573" s="1"/>
      <c r="J1573" s="1"/>
      <c r="K1573" s="1"/>
      <c r="L1573" s="1"/>
      <c r="Q1573" s="8"/>
    </row>
    <row r="1574" spans="5:17">
      <c r="E1574" s="1"/>
      <c r="F1574" s="1"/>
      <c r="G1574" s="3"/>
      <c r="H1574" s="1"/>
      <c r="I1574" s="1"/>
      <c r="J1574" s="1"/>
      <c r="K1574" s="1"/>
      <c r="L1574" s="1"/>
      <c r="Q1574" s="8"/>
    </row>
    <row r="1575" spans="5:17">
      <c r="E1575" s="1"/>
      <c r="F1575" s="1"/>
      <c r="G1575" s="3"/>
      <c r="H1575" s="1"/>
      <c r="I1575" s="1"/>
      <c r="J1575" s="1"/>
      <c r="K1575" s="1"/>
      <c r="L1575" s="1"/>
      <c r="Q1575" s="8"/>
    </row>
    <row r="1576" spans="5:17">
      <c r="E1576" s="1"/>
      <c r="F1576" s="1"/>
      <c r="G1576" s="3"/>
      <c r="H1576" s="1"/>
      <c r="I1576" s="1"/>
      <c r="J1576" s="1"/>
      <c r="K1576" s="1"/>
      <c r="L1576" s="1"/>
      <c r="Q1576" s="8"/>
    </row>
    <row r="1577" spans="5:17">
      <c r="E1577" s="1"/>
      <c r="F1577" s="1"/>
      <c r="G1577" s="3"/>
      <c r="H1577" s="1"/>
      <c r="I1577" s="1"/>
      <c r="J1577" s="1"/>
      <c r="K1577" s="1"/>
      <c r="L1577" s="1"/>
      <c r="Q1577" s="8"/>
    </row>
    <row r="1578" spans="5:17">
      <c r="E1578" s="1"/>
      <c r="F1578" s="1"/>
      <c r="G1578" s="3"/>
      <c r="H1578" s="1"/>
      <c r="I1578" s="1"/>
      <c r="J1578" s="1"/>
      <c r="K1578" s="1"/>
      <c r="L1578" s="1"/>
      <c r="Q1578" s="8"/>
    </row>
    <row r="1579" spans="5:17">
      <c r="E1579" s="1"/>
      <c r="F1579" s="1"/>
      <c r="G1579" s="3"/>
      <c r="H1579" s="1"/>
      <c r="I1579" s="1"/>
      <c r="J1579" s="1"/>
      <c r="K1579" s="1"/>
      <c r="L1579" s="1"/>
      <c r="Q1579" s="8"/>
    </row>
    <row r="1580" spans="5:17">
      <c r="E1580" s="1"/>
      <c r="F1580" s="1"/>
      <c r="G1580" s="3"/>
      <c r="H1580" s="1"/>
      <c r="I1580" s="1"/>
      <c r="J1580" s="1"/>
      <c r="K1580" s="1"/>
      <c r="L1580" s="1"/>
      <c r="Q1580" s="8"/>
    </row>
    <row r="1581" spans="5:17">
      <c r="E1581" s="1"/>
      <c r="F1581" s="1"/>
      <c r="G1581" s="3"/>
      <c r="H1581" s="1"/>
      <c r="I1581" s="1"/>
      <c r="J1581" s="1"/>
      <c r="K1581" s="1"/>
      <c r="L1581" s="1"/>
      <c r="Q1581" s="8"/>
    </row>
    <row r="1582" spans="5:17">
      <c r="E1582" s="1"/>
      <c r="F1582" s="1"/>
      <c r="G1582" s="3"/>
      <c r="H1582" s="1"/>
      <c r="I1582" s="1"/>
      <c r="J1582" s="1"/>
      <c r="K1582" s="1"/>
      <c r="L1582" s="1"/>
      <c r="Q1582" s="8"/>
    </row>
    <row r="1583" spans="5:17">
      <c r="E1583" s="1"/>
      <c r="F1583" s="1"/>
      <c r="G1583" s="3"/>
      <c r="H1583" s="1"/>
      <c r="I1583" s="1"/>
      <c r="J1583" s="1"/>
      <c r="K1583" s="1"/>
      <c r="L1583" s="1"/>
      <c r="Q1583" s="8"/>
    </row>
    <row r="1584" spans="5:17">
      <c r="E1584" s="1"/>
      <c r="F1584" s="1"/>
      <c r="G1584" s="3"/>
      <c r="H1584" s="1"/>
      <c r="I1584" s="1"/>
      <c r="J1584" s="1"/>
      <c r="K1584" s="1"/>
      <c r="L1584" s="1"/>
      <c r="Q1584" s="8"/>
    </row>
    <row r="1585" spans="5:17">
      <c r="E1585" s="1"/>
      <c r="F1585" s="1"/>
      <c r="G1585" s="3"/>
      <c r="H1585" s="1"/>
      <c r="I1585" s="1"/>
      <c r="J1585" s="1"/>
      <c r="K1585" s="1"/>
      <c r="L1585" s="1"/>
      <c r="Q1585" s="8"/>
    </row>
    <row r="1586" spans="5:17">
      <c r="E1586" s="1"/>
      <c r="F1586" s="1"/>
      <c r="G1586" s="3"/>
      <c r="H1586" s="1"/>
      <c r="I1586" s="1"/>
      <c r="J1586" s="1"/>
      <c r="K1586" s="1"/>
      <c r="L1586" s="1"/>
      <c r="Q1586" s="8"/>
    </row>
    <row r="1587" spans="5:17">
      <c r="E1587" s="1"/>
      <c r="F1587" s="1"/>
      <c r="G1587" s="3"/>
      <c r="H1587" s="1"/>
      <c r="I1587" s="1"/>
      <c r="J1587" s="1"/>
      <c r="K1587" s="1"/>
      <c r="L1587" s="1"/>
      <c r="Q1587" s="8"/>
    </row>
    <row r="1588" spans="5:17">
      <c r="E1588" s="1"/>
      <c r="F1588" s="1"/>
      <c r="G1588" s="3"/>
      <c r="H1588" s="1"/>
      <c r="I1588" s="1"/>
      <c r="J1588" s="1"/>
      <c r="K1588" s="1"/>
      <c r="L1588" s="1"/>
      <c r="Q1588" s="8"/>
    </row>
    <row r="1589" spans="5:17">
      <c r="E1589" s="1"/>
      <c r="F1589" s="1"/>
      <c r="G1589" s="3"/>
      <c r="H1589" s="1"/>
      <c r="I1589" s="1"/>
      <c r="J1589" s="1"/>
      <c r="K1589" s="1"/>
      <c r="L1589" s="1"/>
      <c r="Q1589" s="8"/>
    </row>
    <row r="1590" spans="5:17">
      <c r="E1590" s="1"/>
      <c r="F1590" s="1"/>
      <c r="G1590" s="3"/>
      <c r="H1590" s="1"/>
      <c r="I1590" s="1"/>
      <c r="J1590" s="1"/>
      <c r="K1590" s="1"/>
      <c r="L1590" s="1"/>
      <c r="Q1590" s="8"/>
    </row>
    <row r="1591" spans="5:17">
      <c r="E1591" s="1"/>
      <c r="F1591" s="1"/>
      <c r="G1591" s="3"/>
      <c r="H1591" s="1"/>
      <c r="I1591" s="1"/>
      <c r="J1591" s="1"/>
      <c r="K1591" s="1"/>
      <c r="L1591" s="1"/>
      <c r="Q1591" s="8"/>
    </row>
    <row r="1592" spans="5:17">
      <c r="E1592" s="1"/>
      <c r="F1592" s="1"/>
      <c r="G1592" s="3"/>
      <c r="H1592" s="1"/>
      <c r="I1592" s="1"/>
      <c r="J1592" s="1"/>
      <c r="K1592" s="1"/>
      <c r="L1592" s="1"/>
      <c r="Q1592" s="8"/>
    </row>
    <row r="1593" spans="5:17">
      <c r="E1593" s="1"/>
      <c r="F1593" s="1"/>
      <c r="G1593" s="3"/>
      <c r="H1593" s="1"/>
      <c r="I1593" s="1"/>
      <c r="J1593" s="1"/>
      <c r="K1593" s="1"/>
      <c r="L1593" s="1"/>
      <c r="Q1593" s="8"/>
    </row>
    <row r="1594" spans="5:17">
      <c r="E1594" s="1"/>
      <c r="F1594" s="1"/>
      <c r="G1594" s="3"/>
      <c r="H1594" s="1"/>
      <c r="I1594" s="1"/>
      <c r="J1594" s="1"/>
      <c r="K1594" s="1"/>
      <c r="L1594" s="1"/>
      <c r="Q1594" s="8"/>
    </row>
    <row r="1595" spans="5:17">
      <c r="E1595" s="1"/>
      <c r="F1595" s="1"/>
      <c r="G1595" s="3"/>
      <c r="H1595" s="1"/>
      <c r="I1595" s="1"/>
      <c r="J1595" s="1"/>
      <c r="K1595" s="1"/>
      <c r="L1595" s="1"/>
      <c r="Q1595" s="8"/>
    </row>
    <row r="1596" spans="5:17">
      <c r="E1596" s="1"/>
      <c r="F1596" s="1"/>
      <c r="G1596" s="3"/>
      <c r="H1596" s="1"/>
      <c r="I1596" s="1"/>
      <c r="J1596" s="1"/>
      <c r="K1596" s="1"/>
      <c r="L1596" s="1"/>
      <c r="Q1596" s="8"/>
    </row>
    <row r="1597" spans="5:17">
      <c r="E1597" s="1"/>
      <c r="F1597" s="1"/>
      <c r="G1597" s="3"/>
      <c r="H1597" s="1"/>
      <c r="I1597" s="1"/>
      <c r="J1597" s="1"/>
      <c r="K1597" s="1"/>
      <c r="L1597" s="1"/>
      <c r="Q1597" s="8"/>
    </row>
    <row r="1598" spans="5:17">
      <c r="E1598" s="1"/>
      <c r="F1598" s="1"/>
      <c r="G1598" s="3"/>
      <c r="H1598" s="1"/>
      <c r="I1598" s="1"/>
      <c r="J1598" s="1"/>
      <c r="K1598" s="1"/>
      <c r="L1598" s="1"/>
      <c r="Q1598" s="8"/>
    </row>
    <row r="1599" spans="5:17">
      <c r="E1599" s="1"/>
      <c r="F1599" s="1"/>
      <c r="G1599" s="3"/>
      <c r="H1599" s="1"/>
      <c r="I1599" s="1"/>
      <c r="J1599" s="1"/>
      <c r="K1599" s="1"/>
      <c r="L1599" s="1"/>
      <c r="Q1599" s="8"/>
    </row>
    <row r="1600" spans="5:17">
      <c r="E1600" s="1"/>
      <c r="F1600" s="1"/>
      <c r="G1600" s="3"/>
      <c r="H1600" s="1"/>
      <c r="I1600" s="1"/>
      <c r="J1600" s="1"/>
      <c r="K1600" s="1"/>
      <c r="L1600" s="1"/>
      <c r="Q1600" s="8"/>
    </row>
    <row r="1601" spans="5:17">
      <c r="E1601" s="1"/>
      <c r="F1601" s="1"/>
      <c r="G1601" s="3"/>
      <c r="H1601" s="1"/>
      <c r="I1601" s="1"/>
      <c r="J1601" s="1"/>
      <c r="K1601" s="1"/>
      <c r="L1601" s="1"/>
      <c r="Q1601" s="8"/>
    </row>
    <row r="1602" spans="5:17">
      <c r="E1602" s="1"/>
      <c r="F1602" s="1"/>
      <c r="G1602" s="3"/>
      <c r="H1602" s="1"/>
      <c r="I1602" s="1"/>
      <c r="J1602" s="1"/>
      <c r="K1602" s="1"/>
      <c r="L1602" s="1"/>
      <c r="Q1602" s="8"/>
    </row>
    <row r="1603" spans="5:17">
      <c r="E1603" s="1"/>
      <c r="F1603" s="1"/>
      <c r="G1603" s="3"/>
      <c r="H1603" s="1"/>
      <c r="I1603" s="1"/>
      <c r="J1603" s="1"/>
      <c r="K1603" s="1"/>
      <c r="L1603" s="1"/>
      <c r="Q1603" s="8"/>
    </row>
    <row r="1604" spans="5:17">
      <c r="E1604" s="1"/>
      <c r="F1604" s="1"/>
      <c r="G1604" s="3"/>
      <c r="H1604" s="1"/>
      <c r="I1604" s="1"/>
      <c r="J1604" s="1"/>
      <c r="K1604" s="1"/>
      <c r="L1604" s="1"/>
      <c r="Q1604" s="8"/>
    </row>
    <row r="1605" spans="5:17">
      <c r="E1605" s="1"/>
      <c r="F1605" s="1"/>
      <c r="G1605" s="3"/>
      <c r="H1605" s="1"/>
      <c r="I1605" s="1"/>
      <c r="J1605" s="1"/>
      <c r="K1605" s="1"/>
      <c r="L1605" s="1"/>
      <c r="Q1605" s="8"/>
    </row>
    <row r="1606" spans="5:17">
      <c r="E1606" s="1"/>
      <c r="F1606" s="1"/>
      <c r="G1606" s="3"/>
      <c r="H1606" s="1"/>
      <c r="I1606" s="1"/>
      <c r="J1606" s="1"/>
      <c r="K1606" s="1"/>
      <c r="L1606" s="1"/>
      <c r="Q1606" s="8"/>
    </row>
    <row r="1607" spans="5:17">
      <c r="E1607" s="1"/>
      <c r="F1607" s="1"/>
      <c r="G1607" s="3"/>
      <c r="H1607" s="1"/>
      <c r="I1607" s="1"/>
      <c r="J1607" s="1"/>
      <c r="K1607" s="1"/>
      <c r="L1607" s="1"/>
      <c r="Q1607" s="8"/>
    </row>
    <row r="1608" spans="5:17">
      <c r="E1608" s="1"/>
      <c r="F1608" s="1"/>
      <c r="G1608" s="3"/>
      <c r="H1608" s="1"/>
      <c r="I1608" s="1"/>
      <c r="J1608" s="1"/>
      <c r="K1608" s="1"/>
      <c r="L1608" s="1"/>
      <c r="Q1608" s="8"/>
    </row>
    <row r="1609" spans="5:17">
      <c r="E1609" s="1"/>
      <c r="F1609" s="1"/>
      <c r="G1609" s="3"/>
      <c r="H1609" s="1"/>
      <c r="I1609" s="1"/>
      <c r="J1609" s="1"/>
      <c r="K1609" s="1"/>
      <c r="L1609" s="1"/>
      <c r="Q1609" s="8"/>
    </row>
    <row r="1610" spans="5:17">
      <c r="E1610" s="1"/>
      <c r="F1610" s="1"/>
      <c r="G1610" s="3"/>
      <c r="H1610" s="1"/>
      <c r="I1610" s="1"/>
      <c r="J1610" s="1"/>
      <c r="K1610" s="1"/>
      <c r="L1610" s="1"/>
      <c r="Q1610" s="8"/>
    </row>
    <row r="1611" spans="5:17">
      <c r="E1611" s="1"/>
      <c r="F1611" s="1"/>
      <c r="G1611" s="3"/>
      <c r="H1611" s="1"/>
      <c r="I1611" s="1"/>
      <c r="J1611" s="1"/>
      <c r="K1611" s="1"/>
      <c r="L1611" s="1"/>
      <c r="Q1611" s="8"/>
    </row>
    <row r="1612" spans="5:17">
      <c r="E1612" s="1"/>
      <c r="F1612" s="1"/>
      <c r="G1612" s="3"/>
      <c r="H1612" s="1"/>
      <c r="I1612" s="1"/>
      <c r="J1612" s="1"/>
      <c r="K1612" s="1"/>
      <c r="L1612" s="1"/>
      <c r="Q1612" s="8"/>
    </row>
    <row r="1613" spans="5:17">
      <c r="E1613" s="1"/>
      <c r="F1613" s="1"/>
      <c r="G1613" s="3"/>
      <c r="H1613" s="1"/>
      <c r="I1613" s="1"/>
      <c r="J1613" s="1"/>
      <c r="K1613" s="1"/>
      <c r="L1613" s="1"/>
      <c r="Q1613" s="8"/>
    </row>
    <row r="1614" spans="5:17">
      <c r="E1614" s="1"/>
      <c r="F1614" s="1"/>
      <c r="G1614" s="3"/>
      <c r="H1614" s="1"/>
      <c r="I1614" s="1"/>
      <c r="J1614" s="1"/>
      <c r="K1614" s="1"/>
      <c r="L1614" s="1"/>
      <c r="Q1614" s="8"/>
    </row>
    <row r="1615" spans="5:17">
      <c r="E1615" s="1"/>
      <c r="F1615" s="1"/>
      <c r="G1615" s="3"/>
      <c r="H1615" s="1"/>
      <c r="I1615" s="1"/>
      <c r="J1615" s="1"/>
      <c r="K1615" s="1"/>
      <c r="L1615" s="1"/>
      <c r="Q1615" s="8"/>
    </row>
    <row r="1616" spans="5:17">
      <c r="E1616" s="1"/>
      <c r="F1616" s="1"/>
      <c r="G1616" s="3"/>
      <c r="H1616" s="1"/>
      <c r="I1616" s="1"/>
      <c r="J1616" s="1"/>
      <c r="K1616" s="1"/>
      <c r="L1616" s="1"/>
      <c r="Q1616" s="8"/>
    </row>
    <row r="1617" spans="5:17">
      <c r="E1617" s="1"/>
      <c r="F1617" s="1"/>
      <c r="G1617" s="3"/>
      <c r="H1617" s="1"/>
      <c r="I1617" s="1"/>
      <c r="J1617" s="1"/>
      <c r="K1617" s="1"/>
      <c r="L1617" s="1"/>
      <c r="Q1617" s="8"/>
    </row>
    <row r="1618" spans="5:17">
      <c r="E1618" s="1"/>
      <c r="F1618" s="1"/>
      <c r="G1618" s="3"/>
      <c r="H1618" s="1"/>
      <c r="I1618" s="1"/>
      <c r="J1618" s="1"/>
      <c r="K1618" s="1"/>
      <c r="L1618" s="1"/>
      <c r="Q1618" s="8"/>
    </row>
    <row r="1619" spans="5:17">
      <c r="E1619" s="1"/>
      <c r="F1619" s="1"/>
      <c r="G1619" s="3"/>
      <c r="H1619" s="1"/>
      <c r="I1619" s="1"/>
      <c r="J1619" s="1"/>
      <c r="K1619" s="1"/>
      <c r="L1619" s="1"/>
      <c r="Q1619" s="8"/>
    </row>
    <row r="1620" spans="5:17">
      <c r="E1620" s="1"/>
      <c r="F1620" s="1"/>
      <c r="G1620" s="3"/>
      <c r="H1620" s="1"/>
      <c r="I1620" s="1"/>
      <c r="J1620" s="1"/>
      <c r="K1620" s="1"/>
      <c r="L1620" s="1"/>
      <c r="Q1620" s="8"/>
    </row>
    <row r="1621" spans="5:17">
      <c r="E1621" s="1"/>
      <c r="F1621" s="1"/>
      <c r="G1621" s="3"/>
      <c r="H1621" s="1"/>
      <c r="I1621" s="1"/>
      <c r="J1621" s="1"/>
      <c r="K1621" s="1"/>
      <c r="L1621" s="1"/>
      <c r="Q1621" s="8"/>
    </row>
    <row r="1622" spans="5:17">
      <c r="E1622" s="1"/>
      <c r="F1622" s="1"/>
      <c r="G1622" s="3"/>
      <c r="H1622" s="1"/>
      <c r="I1622" s="1"/>
      <c r="J1622" s="1"/>
      <c r="K1622" s="1"/>
      <c r="L1622" s="1"/>
      <c r="Q1622" s="8"/>
    </row>
    <row r="1623" spans="5:17">
      <c r="E1623" s="1"/>
      <c r="F1623" s="1"/>
      <c r="G1623" s="3"/>
      <c r="H1623" s="1"/>
      <c r="I1623" s="1"/>
      <c r="J1623" s="1"/>
      <c r="K1623" s="1"/>
      <c r="L1623" s="1"/>
      <c r="Q1623" s="8"/>
    </row>
    <row r="1624" spans="5:17">
      <c r="E1624" s="1"/>
      <c r="F1624" s="1"/>
      <c r="G1624" s="3"/>
      <c r="H1624" s="1"/>
      <c r="I1624" s="1"/>
      <c r="J1624" s="1"/>
      <c r="K1624" s="1"/>
      <c r="L1624" s="1"/>
      <c r="Q1624" s="8"/>
    </row>
    <row r="1625" spans="5:17">
      <c r="E1625" s="1"/>
      <c r="F1625" s="1"/>
      <c r="G1625" s="3"/>
      <c r="H1625" s="1"/>
      <c r="I1625" s="1"/>
      <c r="J1625" s="1"/>
      <c r="K1625" s="1"/>
      <c r="L1625" s="1"/>
      <c r="Q1625" s="8"/>
    </row>
    <row r="1626" spans="5:17">
      <c r="E1626" s="1"/>
      <c r="F1626" s="1"/>
      <c r="G1626" s="3"/>
      <c r="H1626" s="1"/>
      <c r="I1626" s="1"/>
      <c r="J1626" s="1"/>
      <c r="K1626" s="1"/>
      <c r="L1626" s="1"/>
      <c r="Q1626" s="8"/>
    </row>
    <row r="1627" spans="5:17">
      <c r="E1627" s="1"/>
      <c r="F1627" s="1"/>
      <c r="G1627" s="3"/>
      <c r="H1627" s="1"/>
      <c r="I1627" s="1"/>
      <c r="J1627" s="1"/>
      <c r="K1627" s="1"/>
      <c r="L1627" s="1"/>
      <c r="Q1627" s="8"/>
    </row>
    <row r="1628" spans="5:17">
      <c r="E1628" s="1"/>
      <c r="F1628" s="1"/>
      <c r="G1628" s="3"/>
      <c r="H1628" s="1"/>
      <c r="I1628" s="1"/>
      <c r="J1628" s="1"/>
      <c r="K1628" s="1"/>
      <c r="L1628" s="1"/>
      <c r="Q1628" s="8"/>
    </row>
    <row r="1629" spans="5:17">
      <c r="G1629" s="13"/>
      <c r="Q1629" s="8"/>
    </row>
    <row r="1630" spans="5:17">
      <c r="G1630" s="13"/>
      <c r="Q1630" s="8"/>
    </row>
    <row r="1631" spans="5:17">
      <c r="G1631" s="13"/>
      <c r="Q1631" s="8"/>
    </row>
    <row r="1632" spans="5:17">
      <c r="G1632" s="13"/>
      <c r="Q1632" s="8"/>
    </row>
    <row r="1633" spans="7:17">
      <c r="G1633" s="13"/>
      <c r="Q1633" s="8"/>
    </row>
    <row r="1634" spans="7:17">
      <c r="G1634" s="13"/>
      <c r="Q1634" s="8"/>
    </row>
    <row r="1635" spans="7:17">
      <c r="G1635" s="13"/>
      <c r="Q1635" s="8"/>
    </row>
    <row r="1636" spans="7:17">
      <c r="G1636" s="13"/>
      <c r="Q1636" s="8"/>
    </row>
    <row r="1637" spans="7:17">
      <c r="G1637" s="13"/>
      <c r="Q1637" s="8"/>
    </row>
  </sheetData>
  <mergeCells count="27">
    <mergeCell ref="B535:M536"/>
    <mergeCell ref="B451:J452"/>
    <mergeCell ref="B3:Q4"/>
    <mergeCell ref="B78:Q79"/>
    <mergeCell ref="B96:Q97"/>
    <mergeCell ref="B111:Q112"/>
    <mergeCell ref="B477:M478"/>
    <mergeCell ref="B371:S372"/>
    <mergeCell ref="B185:O186"/>
    <mergeCell ref="B218:O219"/>
    <mergeCell ref="B286:M287"/>
    <mergeCell ref="B308:M309"/>
    <mergeCell ref="B347:M348"/>
    <mergeCell ref="B363:M364"/>
    <mergeCell ref="B464:Q465"/>
    <mergeCell ref="B593:O594"/>
    <mergeCell ref="B614:B615"/>
    <mergeCell ref="C614:C615"/>
    <mergeCell ref="J614:J615"/>
    <mergeCell ref="B612:J613"/>
    <mergeCell ref="J666:J667"/>
    <mergeCell ref="K666:K667"/>
    <mergeCell ref="B688:M689"/>
    <mergeCell ref="B664:K665"/>
    <mergeCell ref="B677:O678"/>
    <mergeCell ref="B666:B667"/>
    <mergeCell ref="C666:C667"/>
  </mergeCells>
  <phoneticPr fontId="0" type="noConversion"/>
  <printOptions verticalCentered="1"/>
  <pageMargins left="0.23622047244094491" right="0.23622047244094491" top="0.25" bottom="0.16" header="0.16" footer="0.31496062992125984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53B4-D4EE-4D5E-9093-21396FC8FB9C}">
  <dimension ref="A1:H52"/>
  <sheetViews>
    <sheetView workbookViewId="0">
      <selection activeCell="E134" sqref="E134"/>
    </sheetView>
  </sheetViews>
  <sheetFormatPr defaultColWidth="11.42578125" defaultRowHeight="12.75"/>
  <cols>
    <col min="1" max="1" width="11" customWidth="1"/>
    <col min="2" max="2" width="36.85546875" customWidth="1"/>
    <col min="3" max="3" width="2.28515625" customWidth="1"/>
    <col min="4" max="4" width="7.42578125" customWidth="1"/>
    <col min="5" max="5" width="28" customWidth="1"/>
    <col min="6" max="6" width="2.5703125" customWidth="1"/>
    <col min="7" max="7" width="8.42578125" customWidth="1"/>
    <col min="8" max="8" width="28.140625" customWidth="1"/>
  </cols>
  <sheetData>
    <row r="1" spans="1:8" ht="15">
      <c r="A1" s="266" t="s">
        <v>1234</v>
      </c>
      <c r="B1" s="265" t="s">
        <v>1235</v>
      </c>
      <c r="D1" s="266" t="s">
        <v>1236</v>
      </c>
      <c r="E1" s="265" t="s">
        <v>1237</v>
      </c>
      <c r="G1" s="266" t="s">
        <v>1238</v>
      </c>
      <c r="H1" s="265" t="s">
        <v>1239</v>
      </c>
    </row>
    <row r="2" spans="1:8" ht="15">
      <c r="A2" s="266" t="s">
        <v>1240</v>
      </c>
      <c r="B2" s="265" t="s">
        <v>1241</v>
      </c>
      <c r="D2" s="266" t="s">
        <v>1242</v>
      </c>
      <c r="E2" s="265" t="s">
        <v>1243</v>
      </c>
      <c r="G2" s="266" t="s">
        <v>1244</v>
      </c>
      <c r="H2" s="265" t="s">
        <v>1239</v>
      </c>
    </row>
    <row r="3" spans="1:8" ht="15">
      <c r="A3" s="266" t="s">
        <v>1245</v>
      </c>
      <c r="B3" s="265" t="s">
        <v>1246</v>
      </c>
      <c r="D3" s="266" t="s">
        <v>1240</v>
      </c>
      <c r="E3" s="265" t="s">
        <v>1247</v>
      </c>
      <c r="G3" s="266" t="s">
        <v>1248</v>
      </c>
      <c r="H3" s="265" t="s">
        <v>1249</v>
      </c>
    </row>
    <row r="4" spans="1:8" ht="15">
      <c r="A4" s="266" t="s">
        <v>1250</v>
      </c>
      <c r="B4" s="265" t="s">
        <v>1251</v>
      </c>
      <c r="D4" s="266" t="s">
        <v>1245</v>
      </c>
      <c r="E4" s="265" t="s">
        <v>1252</v>
      </c>
      <c r="G4" s="266" t="s">
        <v>1253</v>
      </c>
      <c r="H4" s="265" t="s">
        <v>1254</v>
      </c>
    </row>
    <row r="5" spans="1:8" ht="15">
      <c r="A5" s="266" t="s">
        <v>1255</v>
      </c>
      <c r="B5" s="265" t="s">
        <v>1256</v>
      </c>
      <c r="D5" s="266" t="s">
        <v>1250</v>
      </c>
      <c r="E5" s="265" t="s">
        <v>1257</v>
      </c>
      <c r="G5" s="266" t="s">
        <v>1258</v>
      </c>
      <c r="H5" s="265" t="s">
        <v>1259</v>
      </c>
    </row>
    <row r="6" spans="1:8" ht="15">
      <c r="A6" s="266" t="s">
        <v>1260</v>
      </c>
      <c r="B6" s="265" t="s">
        <v>1261</v>
      </c>
      <c r="D6" s="266" t="s">
        <v>1255</v>
      </c>
      <c r="E6" s="265" t="s">
        <v>1262</v>
      </c>
      <c r="G6" s="266" t="s">
        <v>1263</v>
      </c>
      <c r="H6" s="265" t="s">
        <v>1264</v>
      </c>
    </row>
    <row r="7" spans="1:8" ht="15">
      <c r="A7" s="266" t="s">
        <v>1265</v>
      </c>
      <c r="B7" s="265" t="s">
        <v>1266</v>
      </c>
      <c r="D7" s="266" t="s">
        <v>1260</v>
      </c>
      <c r="E7" s="265" t="s">
        <v>1267</v>
      </c>
      <c r="G7" s="266" t="s">
        <v>1268</v>
      </c>
      <c r="H7" s="265" t="s">
        <v>1269</v>
      </c>
    </row>
    <row r="8" spans="1:8" ht="15">
      <c r="A8" s="266" t="s">
        <v>1270</v>
      </c>
      <c r="B8" s="265" t="s">
        <v>1271</v>
      </c>
      <c r="D8" s="266" t="s">
        <v>1272</v>
      </c>
      <c r="E8" s="265" t="s">
        <v>1273</v>
      </c>
      <c r="G8" s="266" t="s">
        <v>1274</v>
      </c>
      <c r="H8" s="265" t="s">
        <v>1275</v>
      </c>
    </row>
    <row r="9" spans="1:8" ht="15">
      <c r="A9" s="266" t="s">
        <v>1276</v>
      </c>
      <c r="B9" s="265" t="s">
        <v>1277</v>
      </c>
      <c r="D9" s="266" t="s">
        <v>1278</v>
      </c>
      <c r="E9" s="265" t="s">
        <v>1279</v>
      </c>
      <c r="G9" s="266" t="s">
        <v>1280</v>
      </c>
      <c r="H9" s="265" t="s">
        <v>1281</v>
      </c>
    </row>
    <row r="10" spans="1:8" ht="15">
      <c r="A10" s="266" t="s">
        <v>1282</v>
      </c>
      <c r="B10" s="265" t="s">
        <v>1283</v>
      </c>
      <c r="D10" s="266" t="s">
        <v>1284</v>
      </c>
      <c r="E10" s="265" t="s">
        <v>1285</v>
      </c>
      <c r="G10" s="266" t="s">
        <v>1286</v>
      </c>
      <c r="H10" s="265" t="s">
        <v>1287</v>
      </c>
    </row>
    <row r="11" spans="1:8" ht="15">
      <c r="A11" s="266" t="s">
        <v>1288</v>
      </c>
      <c r="B11" s="265" t="s">
        <v>1289</v>
      </c>
      <c r="D11" s="266" t="s">
        <v>1290</v>
      </c>
      <c r="E11" s="265" t="s">
        <v>1291</v>
      </c>
      <c r="G11" s="266" t="s">
        <v>1292</v>
      </c>
      <c r="H11" s="265" t="s">
        <v>1293</v>
      </c>
    </row>
    <row r="12" spans="1:8" ht="15">
      <c r="A12" s="266" t="s">
        <v>1294</v>
      </c>
      <c r="B12" s="265" t="s">
        <v>1295</v>
      </c>
      <c r="D12" s="266" t="s">
        <v>1296</v>
      </c>
      <c r="E12" s="265" t="s">
        <v>1297</v>
      </c>
      <c r="G12" s="266" t="s">
        <v>1298</v>
      </c>
      <c r="H12" s="265" t="s">
        <v>1299</v>
      </c>
    </row>
    <row r="13" spans="1:8" ht="15">
      <c r="A13" s="266" t="s">
        <v>1300</v>
      </c>
      <c r="B13" s="265" t="s">
        <v>1301</v>
      </c>
      <c r="D13" s="266" t="s">
        <v>1302</v>
      </c>
      <c r="E13" s="265" t="s">
        <v>1297</v>
      </c>
      <c r="G13" s="266" t="s">
        <v>1303</v>
      </c>
      <c r="H13" s="265" t="s">
        <v>1304</v>
      </c>
    </row>
    <row r="14" spans="1:8" ht="15">
      <c r="A14" s="266" t="s">
        <v>1272</v>
      </c>
      <c r="B14" s="265" t="s">
        <v>1305</v>
      </c>
      <c r="D14" s="266" t="s">
        <v>1272</v>
      </c>
      <c r="E14" s="265" t="s">
        <v>1306</v>
      </c>
      <c r="G14" s="266" t="s">
        <v>1307</v>
      </c>
      <c r="H14" s="265" t="s">
        <v>1308</v>
      </c>
    </row>
    <row r="15" spans="1:8" ht="15">
      <c r="A15" s="266" t="s">
        <v>1298</v>
      </c>
      <c r="B15" s="265" t="s">
        <v>1309</v>
      </c>
      <c r="D15" s="266" t="s">
        <v>1298</v>
      </c>
      <c r="E15" s="265" t="s">
        <v>1310</v>
      </c>
      <c r="G15" s="266" t="s">
        <v>1311</v>
      </c>
      <c r="H15" s="265" t="s">
        <v>1312</v>
      </c>
    </row>
    <row r="16" spans="1:8" ht="15">
      <c r="A16" s="266" t="s">
        <v>1280</v>
      </c>
      <c r="B16" s="265" t="s">
        <v>1313</v>
      </c>
      <c r="D16" s="266" t="s">
        <v>1238</v>
      </c>
      <c r="E16" s="265" t="s">
        <v>1314</v>
      </c>
      <c r="G16" s="266" t="s">
        <v>1315</v>
      </c>
      <c r="H16" s="265" t="s">
        <v>1316</v>
      </c>
    </row>
    <row r="17" spans="1:8" ht="15">
      <c r="A17" s="266" t="s">
        <v>1317</v>
      </c>
      <c r="B17" s="265" t="s">
        <v>1318</v>
      </c>
      <c r="D17" s="266" t="s">
        <v>1300</v>
      </c>
      <c r="E17" s="265" t="s">
        <v>1319</v>
      </c>
      <c r="G17" s="266" t="s">
        <v>1320</v>
      </c>
      <c r="H17" s="265" t="s">
        <v>1321</v>
      </c>
    </row>
    <row r="18" spans="1:8" ht="15.75">
      <c r="A18" s="266" t="s">
        <v>1322</v>
      </c>
      <c r="B18" s="265" t="s">
        <v>1323</v>
      </c>
      <c r="D18" s="266" t="s">
        <v>1324</v>
      </c>
      <c r="E18" s="265" t="s">
        <v>1325</v>
      </c>
      <c r="G18" s="267" t="s">
        <v>1270</v>
      </c>
      <c r="H18" s="268" t="s">
        <v>1326</v>
      </c>
    </row>
    <row r="19" spans="1:8" ht="15.75">
      <c r="A19" s="267" t="s">
        <v>1270</v>
      </c>
      <c r="B19" s="268" t="s">
        <v>1327</v>
      </c>
      <c r="D19" s="266" t="s">
        <v>1328</v>
      </c>
      <c r="E19" s="265" t="s">
        <v>1329</v>
      </c>
      <c r="G19" s="266" t="s">
        <v>1330</v>
      </c>
      <c r="H19" s="265" t="s">
        <v>1331</v>
      </c>
    </row>
    <row r="20" spans="1:8" ht="15">
      <c r="A20" s="266" t="s">
        <v>1320</v>
      </c>
      <c r="B20" s="265" t="s">
        <v>1332</v>
      </c>
      <c r="D20" s="266" t="s">
        <v>1333</v>
      </c>
      <c r="E20" s="265" t="s">
        <v>1334</v>
      </c>
      <c r="G20" s="266" t="s">
        <v>1298</v>
      </c>
      <c r="H20" s="265" t="s">
        <v>1335</v>
      </c>
    </row>
    <row r="21" spans="1:8" ht="15">
      <c r="A21" s="266" t="s">
        <v>1268</v>
      </c>
      <c r="B21" s="265" t="s">
        <v>1336</v>
      </c>
      <c r="D21" s="266" t="s">
        <v>1337</v>
      </c>
      <c r="E21" s="265" t="s">
        <v>1338</v>
      </c>
      <c r="G21" s="266" t="s">
        <v>1292</v>
      </c>
      <c r="H21" s="265" t="s">
        <v>1339</v>
      </c>
    </row>
    <row r="22" spans="1:8" ht="15">
      <c r="A22" s="266" t="s">
        <v>1340</v>
      </c>
      <c r="B22" s="265" t="s">
        <v>1341</v>
      </c>
      <c r="D22" s="266" t="s">
        <v>1342</v>
      </c>
      <c r="E22" s="265" t="s">
        <v>1343</v>
      </c>
      <c r="G22" s="266" t="s">
        <v>1322</v>
      </c>
      <c r="H22" s="265" t="s">
        <v>1344</v>
      </c>
    </row>
    <row r="23" spans="1:8" ht="15">
      <c r="A23" s="266" t="s">
        <v>1320</v>
      </c>
      <c r="B23" s="265" t="s">
        <v>1345</v>
      </c>
      <c r="D23" s="266" t="s">
        <v>1346</v>
      </c>
      <c r="E23" s="265" t="s">
        <v>1347</v>
      </c>
      <c r="G23" s="266" t="s">
        <v>1274</v>
      </c>
      <c r="H23" s="265" t="s">
        <v>1348</v>
      </c>
    </row>
    <row r="24" spans="1:8" ht="15">
      <c r="A24" s="266" t="s">
        <v>1330</v>
      </c>
      <c r="B24" s="265" t="s">
        <v>1349</v>
      </c>
      <c r="D24" s="266" t="s">
        <v>1350</v>
      </c>
      <c r="E24" s="265" t="s">
        <v>1351</v>
      </c>
      <c r="G24" s="266" t="s">
        <v>1236</v>
      </c>
      <c r="H24" s="265" t="s">
        <v>1352</v>
      </c>
    </row>
    <row r="25" spans="1:8" ht="15">
      <c r="A25" s="266" t="s">
        <v>1353</v>
      </c>
      <c r="B25" s="265" t="s">
        <v>1354</v>
      </c>
      <c r="D25" s="266" t="s">
        <v>1355</v>
      </c>
      <c r="E25" s="265" t="s">
        <v>1356</v>
      </c>
      <c r="G25" s="266" t="s">
        <v>1242</v>
      </c>
      <c r="H25" s="265" t="s">
        <v>1357</v>
      </c>
    </row>
    <row r="26" spans="1:8" ht="15">
      <c r="A26" s="266" t="s">
        <v>1358</v>
      </c>
      <c r="B26" s="265" t="s">
        <v>1359</v>
      </c>
      <c r="D26" s="266" t="s">
        <v>1317</v>
      </c>
      <c r="E26" s="265" t="s">
        <v>1360</v>
      </c>
      <c r="G26" s="266" t="s">
        <v>1268</v>
      </c>
      <c r="H26" s="265" t="s">
        <v>1361</v>
      </c>
    </row>
    <row r="27" spans="1:8" ht="15">
      <c r="A27" s="266" t="s">
        <v>1362</v>
      </c>
      <c r="B27" s="265" t="s">
        <v>1363</v>
      </c>
      <c r="D27" s="266" t="s">
        <v>1296</v>
      </c>
      <c r="E27" s="265" t="s">
        <v>1364</v>
      </c>
      <c r="G27" s="266" t="s">
        <v>1365</v>
      </c>
      <c r="H27" s="265" t="s">
        <v>1366</v>
      </c>
    </row>
    <row r="28" spans="1:8" ht="15">
      <c r="A28" s="266" t="s">
        <v>1311</v>
      </c>
      <c r="B28" s="265" t="s">
        <v>1367</v>
      </c>
      <c r="D28" s="266" t="s">
        <v>1317</v>
      </c>
      <c r="E28" s="265" t="s">
        <v>1368</v>
      </c>
      <c r="G28" s="266" t="s">
        <v>1369</v>
      </c>
      <c r="H28" s="265" t="s">
        <v>1370</v>
      </c>
    </row>
    <row r="29" spans="1:8" ht="15">
      <c r="A29" s="266" t="s">
        <v>1284</v>
      </c>
      <c r="B29" s="265" t="s">
        <v>1371</v>
      </c>
      <c r="D29" s="266" t="s">
        <v>1372</v>
      </c>
      <c r="E29" s="265" t="s">
        <v>1373</v>
      </c>
      <c r="G29" s="266" t="s">
        <v>1355</v>
      </c>
      <c r="H29" s="265" t="s">
        <v>1374</v>
      </c>
    </row>
    <row r="30" spans="1:8" ht="15">
      <c r="A30" s="266" t="s">
        <v>1290</v>
      </c>
      <c r="B30" s="265" t="s">
        <v>1375</v>
      </c>
      <c r="D30" s="266" t="s">
        <v>1376</v>
      </c>
      <c r="E30" s="265" t="s">
        <v>1377</v>
      </c>
      <c r="G30" s="266" t="s">
        <v>1378</v>
      </c>
      <c r="H30" s="265" t="s">
        <v>1379</v>
      </c>
    </row>
    <row r="31" spans="1:8" ht="15">
      <c r="A31" s="266" t="s">
        <v>1278</v>
      </c>
      <c r="B31" s="265" t="s">
        <v>1380</v>
      </c>
      <c r="D31" s="266" t="s">
        <v>1381</v>
      </c>
      <c r="E31" s="265" t="s">
        <v>1382</v>
      </c>
      <c r="G31" s="266" t="s">
        <v>1383</v>
      </c>
      <c r="H31" s="265" t="s">
        <v>1384</v>
      </c>
    </row>
    <row r="32" spans="1:8" ht="15">
      <c r="A32" s="266" t="s">
        <v>1385</v>
      </c>
      <c r="B32" s="265" t="s">
        <v>1386</v>
      </c>
      <c r="D32" s="266" t="s">
        <v>1387</v>
      </c>
      <c r="E32" s="265" t="s">
        <v>1388</v>
      </c>
      <c r="G32" s="266" t="s">
        <v>1389</v>
      </c>
      <c r="H32" s="265" t="s">
        <v>1390</v>
      </c>
    </row>
    <row r="33" spans="1:8" ht="15">
      <c r="A33" s="266" t="s">
        <v>1391</v>
      </c>
      <c r="B33" s="265" t="s">
        <v>1392</v>
      </c>
      <c r="D33" s="266" t="s">
        <v>1393</v>
      </c>
      <c r="E33" s="265" t="s">
        <v>1394</v>
      </c>
      <c r="G33" s="266" t="s">
        <v>1395</v>
      </c>
      <c r="H33" s="265" t="s">
        <v>1396</v>
      </c>
    </row>
    <row r="34" spans="1:8" ht="15">
      <c r="A34" s="266" t="s">
        <v>1397</v>
      </c>
      <c r="B34" s="265" t="s">
        <v>1398</v>
      </c>
      <c r="D34" s="266" t="s">
        <v>1399</v>
      </c>
      <c r="E34" s="265" t="s">
        <v>1400</v>
      </c>
      <c r="G34" s="266" t="s">
        <v>1238</v>
      </c>
      <c r="H34" s="265" t="s">
        <v>1396</v>
      </c>
    </row>
    <row r="35" spans="1:8" ht="15">
      <c r="A35" s="266" t="s">
        <v>1296</v>
      </c>
      <c r="B35" s="265" t="s">
        <v>1401</v>
      </c>
      <c r="D35" s="266" t="s">
        <v>1402</v>
      </c>
      <c r="E35" s="265" t="s">
        <v>1403</v>
      </c>
      <c r="G35" s="266" t="s">
        <v>1404</v>
      </c>
      <c r="H35" s="265" t="s">
        <v>1405</v>
      </c>
    </row>
    <row r="36" spans="1:8" ht="15">
      <c r="A36" s="266" t="s">
        <v>1406</v>
      </c>
      <c r="B36" s="265" t="s">
        <v>1407</v>
      </c>
      <c r="D36" s="266" t="s">
        <v>1408</v>
      </c>
      <c r="E36" s="265" t="s">
        <v>1409</v>
      </c>
      <c r="G36" s="266" t="s">
        <v>1410</v>
      </c>
      <c r="H36" s="265" t="s">
        <v>1411</v>
      </c>
    </row>
    <row r="37" spans="1:8" ht="15">
      <c r="A37" s="266" t="s">
        <v>1372</v>
      </c>
      <c r="B37" s="265" t="s">
        <v>1412</v>
      </c>
      <c r="D37" s="266" t="s">
        <v>1413</v>
      </c>
      <c r="E37" s="265" t="s">
        <v>1414</v>
      </c>
      <c r="G37" s="266" t="s">
        <v>1415</v>
      </c>
      <c r="H37" s="265" t="s">
        <v>1416</v>
      </c>
    </row>
    <row r="38" spans="1:8" ht="15">
      <c r="A38" s="266" t="s">
        <v>1376</v>
      </c>
      <c r="B38" s="265" t="s">
        <v>1417</v>
      </c>
      <c r="D38" s="266" t="s">
        <v>1418</v>
      </c>
      <c r="E38" s="265" t="s">
        <v>1419</v>
      </c>
      <c r="G38" s="266" t="s">
        <v>1420</v>
      </c>
      <c r="H38" s="265" t="s">
        <v>1421</v>
      </c>
    </row>
    <row r="39" spans="1:8" ht="15.75">
      <c r="A39" s="267" t="s">
        <v>1381</v>
      </c>
      <c r="B39" s="268" t="s">
        <v>1422</v>
      </c>
      <c r="D39" s="266" t="s">
        <v>1423</v>
      </c>
      <c r="E39" s="265" t="s">
        <v>1424</v>
      </c>
      <c r="G39" s="266" t="s">
        <v>1425</v>
      </c>
      <c r="H39" s="265" t="s">
        <v>1426</v>
      </c>
    </row>
    <row r="40" spans="1:8" ht="15">
      <c r="A40" s="266" t="s">
        <v>1387</v>
      </c>
      <c r="B40" s="265" t="s">
        <v>1427</v>
      </c>
      <c r="D40" s="266" t="s">
        <v>1428</v>
      </c>
      <c r="E40" s="265" t="s">
        <v>1429</v>
      </c>
      <c r="G40" s="266" t="s">
        <v>1317</v>
      </c>
      <c r="H40" s="265" t="s">
        <v>1430</v>
      </c>
    </row>
    <row r="41" spans="1:8" ht="15">
      <c r="A41" s="266" t="s">
        <v>1393</v>
      </c>
      <c r="B41" s="265" t="s">
        <v>1431</v>
      </c>
      <c r="D41" s="266" t="s">
        <v>1346</v>
      </c>
      <c r="E41" s="265" t="s">
        <v>1432</v>
      </c>
      <c r="G41" s="266" t="s">
        <v>1315</v>
      </c>
      <c r="H41" s="265" t="s">
        <v>1433</v>
      </c>
    </row>
    <row r="42" spans="1:8" ht="15">
      <c r="A42" s="266" t="s">
        <v>1399</v>
      </c>
      <c r="B42" s="265" t="s">
        <v>1434</v>
      </c>
      <c r="D42" s="266" t="s">
        <v>1333</v>
      </c>
      <c r="E42" s="265" t="s">
        <v>1435</v>
      </c>
      <c r="G42" s="266" t="s">
        <v>1436</v>
      </c>
      <c r="H42" s="265" t="s">
        <v>1437</v>
      </c>
    </row>
    <row r="43" spans="1:8" ht="15">
      <c r="A43" s="266" t="s">
        <v>1438</v>
      </c>
      <c r="B43" s="265" t="s">
        <v>1439</v>
      </c>
      <c r="D43" s="266" t="s">
        <v>1337</v>
      </c>
      <c r="E43" s="265" t="s">
        <v>1440</v>
      </c>
      <c r="G43" s="266" t="s">
        <v>1441</v>
      </c>
      <c r="H43" s="265" t="s">
        <v>1442</v>
      </c>
    </row>
    <row r="44" spans="1:8" ht="15">
      <c r="A44" s="266" t="s">
        <v>1443</v>
      </c>
      <c r="B44" s="265" t="s">
        <v>1444</v>
      </c>
      <c r="D44" s="266" t="s">
        <v>1445</v>
      </c>
      <c r="E44" s="265" t="s">
        <v>1446</v>
      </c>
      <c r="G44" s="266" t="s">
        <v>1447</v>
      </c>
      <c r="H44" s="265" t="s">
        <v>1448</v>
      </c>
    </row>
    <row r="45" spans="1:8" ht="15">
      <c r="A45" s="266" t="s">
        <v>1449</v>
      </c>
      <c r="B45" s="265" t="s">
        <v>1450</v>
      </c>
      <c r="D45" s="266" t="s">
        <v>1451</v>
      </c>
      <c r="E45" s="265" t="s">
        <v>1452</v>
      </c>
      <c r="G45" s="266" t="s">
        <v>1342</v>
      </c>
      <c r="H45" s="265" t="s">
        <v>1453</v>
      </c>
    </row>
    <row r="46" spans="1:8" ht="15">
      <c r="A46" s="266" t="s">
        <v>1454</v>
      </c>
      <c r="B46" s="265" t="s">
        <v>1455</v>
      </c>
      <c r="D46" s="266" t="s">
        <v>1456</v>
      </c>
      <c r="E46" s="265" t="s">
        <v>1457</v>
      </c>
      <c r="G46" s="266" t="s">
        <v>1242</v>
      </c>
      <c r="H46" s="265" t="s">
        <v>1458</v>
      </c>
    </row>
    <row r="47" spans="1:8" ht="15">
      <c r="A47" s="266" t="s">
        <v>1436</v>
      </c>
      <c r="B47" s="265" t="s">
        <v>1459</v>
      </c>
      <c r="D47" s="266" t="s">
        <v>1355</v>
      </c>
      <c r="E47" s="265" t="s">
        <v>1460</v>
      </c>
      <c r="G47" s="266" t="s">
        <v>1236</v>
      </c>
      <c r="H47" s="265" t="s">
        <v>1461</v>
      </c>
    </row>
    <row r="48" spans="1:8" ht="15">
      <c r="A48" s="266" t="s">
        <v>1441</v>
      </c>
      <c r="B48" s="265" t="s">
        <v>1462</v>
      </c>
      <c r="D48" s="266" t="s">
        <v>1378</v>
      </c>
      <c r="E48" s="265" t="s">
        <v>1463</v>
      </c>
      <c r="G48" s="266" t="s">
        <v>1274</v>
      </c>
      <c r="H48" s="265" t="s">
        <v>1464</v>
      </c>
    </row>
    <row r="49" spans="1:8" ht="15">
      <c r="A49" s="266" t="s">
        <v>1447</v>
      </c>
      <c r="B49" s="265" t="s">
        <v>1465</v>
      </c>
      <c r="D49" s="266" t="s">
        <v>1369</v>
      </c>
      <c r="E49" s="265" t="s">
        <v>1466</v>
      </c>
      <c r="G49" s="266" t="s">
        <v>1467</v>
      </c>
      <c r="H49" s="265" t="s">
        <v>1468</v>
      </c>
    </row>
    <row r="50" spans="1:8" ht="15">
      <c r="A50" s="266" t="s">
        <v>1469</v>
      </c>
      <c r="B50" s="265" t="s">
        <v>1470</v>
      </c>
      <c r="D50" s="266" t="s">
        <v>1438</v>
      </c>
      <c r="E50" s="265" t="s">
        <v>1471</v>
      </c>
      <c r="G50" s="266" t="s">
        <v>1472</v>
      </c>
      <c r="H50" s="265" t="s">
        <v>1473</v>
      </c>
    </row>
    <row r="51" spans="1:8" ht="15">
      <c r="A51" s="266" t="s">
        <v>1474</v>
      </c>
      <c r="B51" s="265" t="s">
        <v>1475</v>
      </c>
      <c r="D51" s="266" t="s">
        <v>1476</v>
      </c>
      <c r="E51" s="265" t="s">
        <v>1477</v>
      </c>
      <c r="G51" s="266" t="s">
        <v>1284</v>
      </c>
      <c r="H51" s="265" t="s">
        <v>1478</v>
      </c>
    </row>
    <row r="52" spans="1:8" ht="15.75" thickBot="1">
      <c r="A52" s="279" t="s">
        <v>1342</v>
      </c>
      <c r="B52" s="280" t="s">
        <v>1479</v>
      </c>
      <c r="D52" s="266" t="s">
        <v>1395</v>
      </c>
      <c r="E52" s="265" t="s">
        <v>1239</v>
      </c>
      <c r="G52" s="269" t="s">
        <v>1290</v>
      </c>
      <c r="H52" s="270" t="s">
        <v>1480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</dc:creator>
  <cp:keywords/>
  <dc:description/>
  <cp:lastModifiedBy/>
  <cp:revision/>
  <dcterms:created xsi:type="dcterms:W3CDTF">2021-05-03T21:59:04Z</dcterms:created>
  <dcterms:modified xsi:type="dcterms:W3CDTF">2025-05-26T22:20:10Z</dcterms:modified>
  <cp:category/>
  <cp:contentStatus/>
</cp:coreProperties>
</file>